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Simulador" sheetId="3" r:id="rId1"/>
    <sheet name="Pedagio" sheetId="2" r:id="rId2"/>
    <sheet name="Pontos" sheetId="1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I3" i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D23" i="3" l="1"/>
  <c r="I10" i="3"/>
  <c r="K10" i="3"/>
  <c r="B41" i="1" l="1"/>
  <c r="B36" i="1"/>
  <c r="F6" i="2" l="1"/>
  <c r="F5" i="2"/>
  <c r="B37" i="1"/>
  <c r="F3" i="2"/>
  <c r="B33" i="1"/>
  <c r="F1" i="2"/>
  <c r="B34" i="1"/>
  <c r="B4" i="2" l="1"/>
  <c r="B5" i="2"/>
  <c r="B19" i="3" s="1"/>
  <c r="B43" i="1"/>
  <c r="B38" i="3" s="1"/>
  <c r="B12" i="2"/>
  <c r="B13" i="2" s="1"/>
  <c r="B35" i="1"/>
  <c r="F7" i="2"/>
  <c r="B1" i="2"/>
  <c r="B3" i="2" s="1"/>
  <c r="B18" i="3" l="1"/>
  <c r="B7" i="2"/>
  <c r="F2" i="2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M3" i="1"/>
  <c r="M4" i="1" s="1"/>
  <c r="M5" i="1" s="1"/>
  <c r="J3" i="1"/>
  <c r="B8" i="2" l="1"/>
  <c r="B9" i="2" s="1"/>
  <c r="B10" i="2" s="1"/>
  <c r="C23" i="3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E23" i="3"/>
  <c r="F23" i="3" s="1"/>
  <c r="O3" i="1"/>
  <c r="A3" i="1" s="1"/>
  <c r="M6" i="1"/>
  <c r="O5" i="1"/>
  <c r="O4" i="1"/>
  <c r="B40" i="1" l="1"/>
  <c r="C53" i="3" s="1"/>
  <c r="D53" i="3" s="1"/>
  <c r="C25" i="3"/>
  <c r="D25" i="3" s="1"/>
  <c r="E25" i="3"/>
  <c r="F25" i="3" s="1"/>
  <c r="A4" i="1"/>
  <c r="A5" i="1" s="1"/>
  <c r="E3" i="1"/>
  <c r="E4" i="1" s="1"/>
  <c r="E5" i="1" s="1"/>
  <c r="M7" i="1"/>
  <c r="O6" i="1"/>
  <c r="C27" i="3" l="1"/>
  <c r="D27" i="3" s="1"/>
  <c r="E27" i="3"/>
  <c r="F27" i="3" s="1"/>
  <c r="E6" i="1"/>
  <c r="C29" i="3"/>
  <c r="A6" i="1"/>
  <c r="M8" i="1"/>
  <c r="O7" i="1"/>
  <c r="E7" i="1" l="1"/>
  <c r="B15" i="2"/>
  <c r="C31" i="3" s="1"/>
  <c r="A7" i="1"/>
  <c r="M9" i="1"/>
  <c r="O8" i="1"/>
  <c r="E8" i="1" l="1"/>
  <c r="A8" i="1"/>
  <c r="M10" i="1"/>
  <c r="O9" i="1"/>
  <c r="E9" i="1" l="1"/>
  <c r="A9" i="1"/>
  <c r="M11" i="1"/>
  <c r="O10" i="1"/>
  <c r="E10" i="1" l="1"/>
  <c r="A10" i="1"/>
  <c r="M12" i="1"/>
  <c r="O11" i="1"/>
  <c r="E11" i="1" l="1"/>
  <c r="A11" i="1"/>
  <c r="M13" i="1"/>
  <c r="O12" i="1"/>
  <c r="E12" i="1" l="1"/>
  <c r="A12" i="1"/>
  <c r="M14" i="1"/>
  <c r="O13" i="1"/>
  <c r="E13" i="1" l="1"/>
  <c r="A13" i="1"/>
  <c r="M15" i="1"/>
  <c r="O14" i="1"/>
  <c r="E14" i="1" l="1"/>
  <c r="A14" i="1"/>
  <c r="M16" i="1"/>
  <c r="O15" i="1"/>
  <c r="E15" i="1" l="1"/>
  <c r="A15" i="1"/>
  <c r="M17" i="1"/>
  <c r="O16" i="1"/>
  <c r="E16" i="1" l="1"/>
  <c r="A16" i="1"/>
  <c r="M18" i="1"/>
  <c r="O17" i="1"/>
  <c r="E17" i="1" l="1"/>
  <c r="A17" i="1"/>
  <c r="M19" i="1"/>
  <c r="O18" i="1"/>
  <c r="E18" i="1" l="1"/>
  <c r="A18" i="1"/>
  <c r="M20" i="1"/>
  <c r="O19" i="1"/>
  <c r="E19" i="1" l="1"/>
  <c r="A19" i="1"/>
  <c r="M21" i="1"/>
  <c r="O20" i="1"/>
  <c r="E20" i="1" l="1"/>
  <c r="A20" i="1"/>
  <c r="M22" i="1"/>
  <c r="O21" i="1"/>
  <c r="E21" i="1" l="1"/>
  <c r="A21" i="1"/>
  <c r="M23" i="1"/>
  <c r="O22" i="1"/>
  <c r="E22" i="1" l="1"/>
  <c r="A22" i="1"/>
  <c r="M24" i="1"/>
  <c r="O23" i="1"/>
  <c r="E23" i="1" l="1"/>
  <c r="A23" i="1"/>
  <c r="M25" i="1"/>
  <c r="O24" i="1"/>
  <c r="E24" i="1" l="1"/>
  <c r="A24" i="1"/>
  <c r="M26" i="1"/>
  <c r="O25" i="1"/>
  <c r="E25" i="1" l="1"/>
  <c r="A25" i="1"/>
  <c r="M27" i="1"/>
  <c r="O26" i="1"/>
  <c r="E26" i="1" l="1"/>
  <c r="A26" i="1"/>
  <c r="M28" i="1"/>
  <c r="O27" i="1"/>
  <c r="E27" i="1" l="1"/>
  <c r="A27" i="1"/>
  <c r="M29" i="1"/>
  <c r="O28" i="1"/>
  <c r="E28" i="1" l="1"/>
  <c r="A28" i="1"/>
  <c r="M30" i="1"/>
  <c r="O29" i="1"/>
  <c r="E29" i="1" l="1"/>
  <c r="A29" i="1"/>
  <c r="M31" i="1"/>
  <c r="O31" i="1" s="1"/>
  <c r="O30" i="1"/>
  <c r="E30" i="1" l="1"/>
  <c r="E31" i="1" s="1"/>
  <c r="A30" i="1"/>
  <c r="A31" i="1" l="1"/>
  <c r="B38" i="1" s="1"/>
  <c r="B55" i="3" s="1"/>
  <c r="B39" i="1" l="1"/>
  <c r="B42" i="1" s="1"/>
  <c r="B37" i="3" s="1"/>
  <c r="B39" i="3" l="1"/>
</calcChain>
</file>

<file path=xl/sharedStrings.xml><?xml version="1.0" encoding="utf-8"?>
<sst xmlns="http://schemas.openxmlformats.org/spreadsheetml/2006/main" count="67" uniqueCount="52">
  <si>
    <t>Homem</t>
  </si>
  <si>
    <t>Mulher</t>
  </si>
  <si>
    <t>Ano</t>
  </si>
  <si>
    <t>Pontos</t>
  </si>
  <si>
    <t>Idade</t>
  </si>
  <si>
    <t>Tempo de Serviço</t>
  </si>
  <si>
    <t>Sexo</t>
  </si>
  <si>
    <t>Cálculo</t>
  </si>
  <si>
    <t>Preenchimento</t>
  </si>
  <si>
    <t>Atingiu</t>
  </si>
  <si>
    <t>Minimo</t>
  </si>
  <si>
    <t>Aposentadoria</t>
  </si>
  <si>
    <t>Hoje</t>
  </si>
  <si>
    <t>Data da Reforma</t>
  </si>
  <si>
    <t>Diferença</t>
  </si>
  <si>
    <t>Anos</t>
  </si>
  <si>
    <t>Meses</t>
  </si>
  <si>
    <t>Tempo em Meses</t>
  </si>
  <si>
    <t>Tempo em Agosto/2020</t>
  </si>
  <si>
    <t>Período de Contribuição</t>
  </si>
  <si>
    <t>Tempo de Contribuição</t>
  </si>
  <si>
    <t>Meses Faltando</t>
  </si>
  <si>
    <t>Pedágio</t>
  </si>
  <si>
    <t>Período de Aposentadoria</t>
  </si>
  <si>
    <t>Idade Mínima</t>
  </si>
  <si>
    <t>Data de nascimento</t>
  </si>
  <si>
    <t>Data Mínima</t>
  </si>
  <si>
    <t>Data de Aposentadoria</t>
  </si>
  <si>
    <t>Nome do Filiado</t>
  </si>
  <si>
    <t>Data de Nascimento</t>
  </si>
  <si>
    <t>Sexo (M ou F)</t>
  </si>
  <si>
    <t>Data prevista para Aposentadoria pelo Pedágio</t>
  </si>
  <si>
    <t>Exigências para Aposentadoria</t>
  </si>
  <si>
    <t>DADOS DO INTERESSADO</t>
  </si>
  <si>
    <t>REGRA DO PEDÁGIO</t>
  </si>
  <si>
    <t>Em Ago/2020:</t>
  </si>
  <si>
    <t>Tempo que faltava para completar o Período de Contribuição</t>
  </si>
  <si>
    <t>Logo o tempo que ainda teria para contribuir para a Previdência por esta regra</t>
  </si>
  <si>
    <t>Mês para completar o período de Pedágio</t>
  </si>
  <si>
    <t>SIMULAÇÕES</t>
  </si>
  <si>
    <t>REGRA DOS PONTOS</t>
  </si>
  <si>
    <t>Exigências para a aposentadoria</t>
  </si>
  <si>
    <t>Pontos Hoje</t>
  </si>
  <si>
    <t>Ano hoje</t>
  </si>
  <si>
    <t>Contribuição Mínima</t>
  </si>
  <si>
    <t>Pontos Aposentadoria</t>
  </si>
  <si>
    <t>Total de pontos Hoje</t>
  </si>
  <si>
    <t>Ano que vai atingir a pontuação necessária</t>
  </si>
  <si>
    <t>SIMULADOR DE APOSENTADORIA</t>
  </si>
  <si>
    <t>Anos de Contribuição</t>
  </si>
  <si>
    <t>OLAVO BARTOLINI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</si>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</sst>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0" fillId="3" borderId="0" xfId="0" applyFill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vertical="center"/>
    </xf>
    <xf numFmtId="14" fontId="0" fillId="3" borderId="0" xfId="0" applyNumberFormat="1" applyFill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 indent="1"/>
    </xf>
    <xf numFmtId="0" fontId="1" fillId="3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4" borderId="0" xfId="0" applyFont="1" applyFill="1" applyAlignment="1" applyProtection="1">
      <alignment horizontal="left" vertical="center"/>
      <protection locked="0"/>
    </xf>
    <xf numFmtId="49" fontId="1" fillId="4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4" fontId="1" fillId="4" borderId="0" xfId="0" applyNumberFormat="1" applyFont="1" applyFill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12"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39</xdr:row>
      <xdr:rowOff>66674</xdr:rowOff>
    </xdr:from>
    <xdr:to>
      <xdr:col>13</xdr:col>
      <xdr:colOff>104775</xdr:colOff>
      <xdr:row>50</xdr:row>
      <xdr:rowOff>134007</xdr:rowOff>
    </xdr:to>
    <xdr:pic>
      <xdr:nvPicPr>
        <xdr:cNvPr id="2" name="Imagem 1" descr="https://saberalei.com.br/wp-content/uploads/2019/12/image1-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5" t="17617" r="2813" b="31356"/>
        <a:stretch/>
      </xdr:blipFill>
      <xdr:spPr bwMode="auto">
        <a:xfrm>
          <a:off x="200025" y="7343774"/>
          <a:ext cx="4181475" cy="21628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PontosHomens" displayName="PontosHomens" ref="A2:C31" totalsRowShown="0" dataDxfId="11">
  <autoFilter ref="A2:C31"/>
  <tableColumns count="3">
    <tableColumn id="4" name="Preenchimento" dataDxfId="10">
      <calculatedColumnFormula>IF(IdadeMinima[[#This Row],[Minimo]]=57,"-",IF(IdadeMinima[[#This Row],[Atingiu]]="N","N",IF(A2="S","-",IF(A2="-","-",IF(CalculoPontos[[#This Row],[Pontos]]&lt;PontosHomens[[#This Row],[Pontos]],"N","S")))))</calculatedColumnFormula>
    </tableColumn>
    <tableColumn id="6" name="Ano" dataDxfId="9"/>
    <tableColumn id="5" name="Pontos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ontosMulheres" displayName="PontosMulheres" ref="E2:G31" totalsRowShown="0" dataDxfId="7">
  <autoFilter ref="E2:G31"/>
  <tableColumns count="3">
    <tableColumn id="3" name="Preenchimento" dataDxfId="6">
      <calculatedColumnFormula>IF(IdadeMinima[[#This Row],[Minimo]]=62,"-",IF(IdadeMinima[[#This Row],[Atingiu]]="N","N",IF(E2="S","-",IF(E2="-","-",IF(CalculoPontos[[#This Row],[Pontos]]&lt;PontosMulheres[[#This Row],[Pontos]],"N","S")))))</calculatedColumnFormula>
    </tableColumn>
    <tableColumn id="1" name="Ano" dataDxfId="5"/>
    <tableColumn id="2" name="Pontos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CalculoPontos" displayName="CalculoPontos" ref="I2:J31" totalsRowShown="0" dataDxfId="3">
  <autoFilter ref="I2:J31"/>
  <tableColumns count="2">
    <tableColumn id="1" name="Ano" dataDxfId="2"/>
    <tableColumn id="2" name="Pontos" dataDxfId="1">
      <calculatedColumnFormula>J2+2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IdadeMinima" displayName="IdadeMinima" ref="L2:O31" totalsRowShown="0">
  <autoFilter ref="L2:O31"/>
  <tableColumns count="4">
    <tableColumn id="1" name="Ano" dataDxfId="0"/>
    <tableColumn id="2" name="Idade">
      <calculatedColumnFormula>M2+1</calculatedColumnFormula>
    </tableColumn>
    <tableColumn id="3" name="Minimo">
      <calculatedColumnFormula>IF($B$37="M",62,57)</calculatedColumnFormula>
    </tableColumn>
    <tableColumn id="4" name="Atingiu">
      <calculatedColumnFormula>IF(M3&gt;=N3,"S","N")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workbookViewId="0">
      <selection activeCell="M10" sqref="M10"/>
    </sheetView>
  </sheetViews>
  <sheetFormatPr defaultRowHeight="15" x14ac:dyDescent="0.25"/>
  <cols>
    <col min="1" max="1" width="1.7109375" style="6" customWidth="1"/>
    <col min="2" max="2" width="3.7109375" style="6" customWidth="1"/>
    <col min="3" max="3" width="2.7109375" style="6" customWidth="1"/>
    <col min="4" max="4" width="4.7109375" style="6" customWidth="1"/>
    <col min="5" max="5" width="3.7109375" style="6" customWidth="1"/>
    <col min="6" max="6" width="7.7109375" style="6" customWidth="1"/>
    <col min="7" max="7" width="3.7109375" style="6" customWidth="1"/>
    <col min="8" max="8" width="2.7109375" style="6" customWidth="1"/>
    <col min="9" max="9" width="5.7109375" style="6" customWidth="1"/>
    <col min="10" max="10" width="2.7109375" style="6" customWidth="1"/>
    <col min="11" max="11" width="6.7109375" style="6" bestFit="1" customWidth="1"/>
    <col min="12" max="12" width="9.140625" style="6" customWidth="1"/>
    <col min="13" max="14" width="9.140625" style="6"/>
    <col min="15" max="15" width="1.7109375" style="6" customWidth="1"/>
    <col min="16" max="16384" width="9.140625" style="6"/>
  </cols>
  <sheetData>
    <row r="1" spans="1:15" ht="18.75" x14ac:dyDescent="0.25">
      <c r="A1" s="27" t="s">
        <v>48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3" spans="1:15" ht="9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1:15" x14ac:dyDescent="0.25">
      <c r="A4" s="10"/>
      <c r="B4" s="28" t="s">
        <v>33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11"/>
    </row>
    <row r="5" spans="1:15" ht="9" customHeight="1" x14ac:dyDescent="0.25">
      <c r="A5" s="10"/>
      <c r="O5" s="11"/>
    </row>
    <row r="6" spans="1:15" x14ac:dyDescent="0.25">
      <c r="A6" s="10"/>
      <c r="B6" s="6" t="s">
        <v>28</v>
      </c>
      <c r="O6" s="11"/>
    </row>
    <row r="7" spans="1:15" x14ac:dyDescent="0.25">
      <c r="A7" s="10"/>
      <c r="B7" s="31" t="s">
        <v>50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11"/>
    </row>
    <row r="8" spans="1:15" ht="9" customHeight="1" x14ac:dyDescent="0.25">
      <c r="A8" s="10"/>
      <c r="B8" s="12"/>
      <c r="C8" s="12"/>
      <c r="D8" s="12"/>
      <c r="E8" s="12"/>
      <c r="F8" s="12"/>
      <c r="G8" s="12"/>
      <c r="H8" s="12"/>
      <c r="O8" s="11"/>
    </row>
    <row r="9" spans="1:15" x14ac:dyDescent="0.25">
      <c r="A9" s="10"/>
      <c r="B9" s="6" t="s">
        <v>29</v>
      </c>
      <c r="H9" s="6" t="s">
        <v>20</v>
      </c>
      <c r="M9" s="6" t="s">
        <v>30</v>
      </c>
      <c r="O9" s="11"/>
    </row>
    <row r="10" spans="1:15" x14ac:dyDescent="0.25">
      <c r="A10" s="10"/>
      <c r="B10" s="30">
        <v>26791</v>
      </c>
      <c r="C10" s="30"/>
      <c r="D10" s="30"/>
      <c r="E10" s="13"/>
      <c r="F10" s="14"/>
      <c r="H10" s="24">
        <v>29</v>
      </c>
      <c r="I10" s="6" t="str">
        <f>IF(H10="","",IF(J10=0,"","anos"))</f>
        <v>anos</v>
      </c>
      <c r="J10" s="24">
        <v>10</v>
      </c>
      <c r="K10" s="6" t="str">
        <f>IF(J10="","",IF(J10=0,"",IF(J10=1,"mês","meses")))</f>
        <v>meses</v>
      </c>
      <c r="M10" s="25" t="s">
        <v>51</v>
      </c>
      <c r="O10" s="11"/>
    </row>
    <row r="11" spans="1:15" ht="9" customHeight="1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</row>
    <row r="12" spans="1:15" ht="15.75" thickBot="1" x14ac:dyDescent="0.3"/>
    <row r="13" spans="1:15" ht="15.75" thickBot="1" x14ac:dyDescent="0.3">
      <c r="A13" s="22"/>
      <c r="B13" s="29" t="s">
        <v>39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3"/>
    </row>
    <row r="14" spans="1:15" ht="9" customHeight="1" x14ac:dyDescent="0.25">
      <c r="B14" s="12"/>
    </row>
    <row r="15" spans="1:15" ht="9" customHeight="1" x14ac:dyDescent="0.25">
      <c r="A15" s="7"/>
      <c r="B15" s="1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5" x14ac:dyDescent="0.25">
      <c r="A16" s="10"/>
      <c r="B16" s="19" t="s">
        <v>34</v>
      </c>
      <c r="O16" s="11"/>
    </row>
    <row r="17" spans="1:15" x14ac:dyDescent="0.25">
      <c r="A17" s="10"/>
      <c r="B17" s="6" t="s">
        <v>32</v>
      </c>
      <c r="O17" s="11"/>
    </row>
    <row r="18" spans="1:15" x14ac:dyDescent="0.25">
      <c r="A18" s="10"/>
      <c r="B18" s="20" t="str">
        <f>CONCATENATE("Ter no mínimo a idade de ",Pedagio!B12," anos")</f>
        <v>Ter no mínimo a idade de 60 anos</v>
      </c>
      <c r="G18" s="12"/>
      <c r="O18" s="11"/>
    </row>
    <row r="19" spans="1:15" x14ac:dyDescent="0.25">
      <c r="A19" s="10"/>
      <c r="B19" s="20" t="str">
        <f>CONCATENATE("Ter contribuído com a Previdência no mínimo ",Pedagio!B5," anos")</f>
        <v>Ter contribuído com a Previdência no mínimo 35 anos</v>
      </c>
      <c r="G19" s="12"/>
      <c r="O19" s="11"/>
    </row>
    <row r="20" spans="1:15" ht="9" customHeight="1" x14ac:dyDescent="0.25">
      <c r="A20" s="10"/>
      <c r="O20" s="11"/>
    </row>
    <row r="21" spans="1:15" x14ac:dyDescent="0.25">
      <c r="A21" s="10"/>
      <c r="B21" s="6" t="s">
        <v>35</v>
      </c>
      <c r="O21" s="11"/>
    </row>
    <row r="22" spans="1:15" x14ac:dyDescent="0.25">
      <c r="A22" s="10"/>
      <c r="B22" s="20" t="s">
        <v>20</v>
      </c>
      <c r="O22" s="11"/>
    </row>
    <row r="23" spans="1:15" x14ac:dyDescent="0.25">
      <c r="A23" s="10"/>
      <c r="B23" s="20"/>
      <c r="C23" s="21">
        <f ca="1">IF(H10=0,"",IF(H10="","",INT(Pedagio!B7/12)))</f>
        <v>25</v>
      </c>
      <c r="D23" s="6" t="str">
        <f>IF(H10=0,"",IF(H10="","","anos"))</f>
        <v>anos</v>
      </c>
      <c r="E23" s="21">
        <f ca="1">IF(H10="","",IF(H10=0,"",IF(MOD(Pedagio!B7,12)=0,"",MOD(Pedagio!B7,12))))</f>
        <v>6</v>
      </c>
      <c r="F23" s="6" t="str">
        <f ca="1">IF(E23="","",IF(MOD(Pedagio!B7,12)=0,"",IF(MOD(Pedagio!B7,12)=1,"mês","meses")))</f>
        <v>meses</v>
      </c>
      <c r="G23" s="12"/>
      <c r="O23" s="11"/>
    </row>
    <row r="24" spans="1:15" x14ac:dyDescent="0.25">
      <c r="A24" s="10"/>
      <c r="B24" s="20" t="s">
        <v>36</v>
      </c>
      <c r="O24" s="11"/>
    </row>
    <row r="25" spans="1:15" x14ac:dyDescent="0.25">
      <c r="A25" s="10"/>
      <c r="B25" s="20"/>
      <c r="C25" s="19">
        <f ca="1">IF(H10="","",INT(Pedagio!B8/12))</f>
        <v>9</v>
      </c>
      <c r="D25" s="6" t="str">
        <f ca="1">IF(C25="","",IF(C25=1,"ano","anos"))</f>
        <v>anos</v>
      </c>
      <c r="E25" s="21">
        <f ca="1">IF(H10="","",IF(MOD(Pedagio!B8,12)=0,"",MOD(Pedagio!B8,12)))</f>
        <v>6</v>
      </c>
      <c r="F25" s="6" t="str">
        <f ca="1">IF(E25="","",IF(MOD(Pedagio!B8,12)=0,"","meses"))</f>
        <v>meses</v>
      </c>
      <c r="O25" s="11"/>
    </row>
    <row r="26" spans="1:15" x14ac:dyDescent="0.25">
      <c r="A26" s="10"/>
      <c r="B26" s="6" t="s">
        <v>37</v>
      </c>
      <c r="O26" s="11"/>
    </row>
    <row r="27" spans="1:15" x14ac:dyDescent="0.25">
      <c r="A27" s="10"/>
      <c r="C27" s="21">
        <f ca="1">IF(H10="","",INT(Pedagio!B9/12))</f>
        <v>19</v>
      </c>
      <c r="D27" s="6" t="str">
        <f ca="1">IF(C27="","",IF(C27=1,"ano","anos"))</f>
        <v>anos</v>
      </c>
      <c r="E27" s="6" t="str">
        <f ca="1">IF(H10="","",IF(MOD(Pedagio!B9,12)=0,"",MOD(Pedagio!B9,12)))</f>
        <v/>
      </c>
      <c r="F27" s="6" t="str">
        <f ca="1">IF(E27="","",IF(MOD(Pedagio!B9,12)=0,"","meses"))</f>
        <v/>
      </c>
      <c r="O27" s="11"/>
    </row>
    <row r="28" spans="1:15" x14ac:dyDescent="0.25">
      <c r="A28" s="10"/>
      <c r="B28" s="6" t="s">
        <v>38</v>
      </c>
      <c r="O28" s="11"/>
    </row>
    <row r="29" spans="1:15" x14ac:dyDescent="0.25">
      <c r="A29" s="10"/>
      <c r="C29" s="19" t="str">
        <f ca="1">IF(H10="","",CONCATENATE(MONTH(Pedagio!B10),"/",YEAR(Pedagio!B10)))</f>
        <v>5/2039</v>
      </c>
      <c r="O29" s="11"/>
    </row>
    <row r="30" spans="1:15" x14ac:dyDescent="0.25">
      <c r="A30" s="10"/>
      <c r="B30" s="6" t="s">
        <v>31</v>
      </c>
      <c r="O30" s="11"/>
    </row>
    <row r="31" spans="1:15" x14ac:dyDescent="0.25">
      <c r="A31" s="10"/>
      <c r="C31" s="19" t="str">
        <f ca="1">IF(H10="","",Pedagio!B15)</f>
        <v>5/2039</v>
      </c>
      <c r="O31" s="11"/>
    </row>
    <row r="32" spans="1:15" ht="9" customHeight="1" x14ac:dyDescent="0.25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7"/>
    </row>
    <row r="33" spans="1:15" ht="9" customHeight="1" x14ac:dyDescent="0.25"/>
    <row r="34" spans="1:15" ht="9" customHeight="1" x14ac:dyDescent="0.2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</row>
    <row r="35" spans="1:15" x14ac:dyDescent="0.25">
      <c r="A35" s="10"/>
      <c r="B35" s="19" t="s">
        <v>40</v>
      </c>
      <c r="O35" s="11"/>
    </row>
    <row r="36" spans="1:15" x14ac:dyDescent="0.25">
      <c r="A36" s="10"/>
      <c r="B36" s="6" t="s">
        <v>41</v>
      </c>
      <c r="O36" s="11"/>
    </row>
    <row r="37" spans="1:15" x14ac:dyDescent="0.25">
      <c r="A37" s="10"/>
      <c r="B37" s="20" t="str">
        <f ca="1">CONCATENATE("Ter no mínimo a idade de ",Pontos!B42," anos")</f>
        <v>Ter no mínimo a idade de 62 anos</v>
      </c>
      <c r="O37" s="11"/>
    </row>
    <row r="38" spans="1:15" x14ac:dyDescent="0.25">
      <c r="A38" s="10"/>
      <c r="B38" s="20" t="str">
        <f>CONCATENATE("Ter contribuído com a Previdência no mínimo ",Pontos!B43," anos")</f>
        <v>Ter contribuído com a Previdência no mínimo 35 anos</v>
      </c>
      <c r="O38" s="11"/>
    </row>
    <row r="39" spans="1:15" x14ac:dyDescent="0.25">
      <c r="A39" s="10"/>
      <c r="B39" s="20" t="str">
        <f ca="1">CONCATENATE("Ter atingido a seguinte pontuação: ",Pontos!B39," pontos")</f>
        <v>Ter atingido a seguinte pontuação: 105 pontos</v>
      </c>
      <c r="O39" s="11"/>
    </row>
    <row r="40" spans="1:15" x14ac:dyDescent="0.25">
      <c r="A40" s="10"/>
      <c r="O40" s="11"/>
    </row>
    <row r="41" spans="1:15" x14ac:dyDescent="0.25">
      <c r="A41" s="10"/>
      <c r="O41" s="11"/>
    </row>
    <row r="42" spans="1:15" x14ac:dyDescent="0.25">
      <c r="A42" s="10"/>
      <c r="O42" s="11"/>
    </row>
    <row r="43" spans="1:15" x14ac:dyDescent="0.25">
      <c r="A43" s="10"/>
      <c r="O43" s="11"/>
    </row>
    <row r="44" spans="1:15" x14ac:dyDescent="0.25">
      <c r="A44" s="10"/>
      <c r="O44" s="11"/>
    </row>
    <row r="45" spans="1:15" x14ac:dyDescent="0.25">
      <c r="A45" s="10"/>
      <c r="O45" s="11"/>
    </row>
    <row r="46" spans="1:15" x14ac:dyDescent="0.25">
      <c r="A46" s="10"/>
      <c r="O46" s="11"/>
    </row>
    <row r="47" spans="1:15" x14ac:dyDescent="0.25">
      <c r="A47" s="10"/>
      <c r="O47" s="11"/>
    </row>
    <row r="48" spans="1:15" x14ac:dyDescent="0.25">
      <c r="A48" s="10"/>
      <c r="O48" s="11"/>
    </row>
    <row r="49" spans="1:15" x14ac:dyDescent="0.25">
      <c r="A49" s="10"/>
      <c r="O49" s="11"/>
    </row>
    <row r="50" spans="1:15" x14ac:dyDescent="0.25">
      <c r="A50" s="10"/>
      <c r="O50" s="11"/>
    </row>
    <row r="51" spans="1:15" x14ac:dyDescent="0.25">
      <c r="A51" s="10"/>
      <c r="O51" s="11"/>
    </row>
    <row r="52" spans="1:15" x14ac:dyDescent="0.25">
      <c r="A52" s="10"/>
      <c r="B52" s="6" t="s">
        <v>46</v>
      </c>
      <c r="O52" s="11"/>
    </row>
    <row r="53" spans="1:15" x14ac:dyDescent="0.25">
      <c r="A53" s="10"/>
      <c r="C53" s="19">
        <f ca="1">IF(H10="","",Pontos!B40)</f>
        <v>80</v>
      </c>
      <c r="D53" s="6" t="str">
        <f ca="1">IF(C53="","","pontos")</f>
        <v>pontos</v>
      </c>
      <c r="O53" s="11"/>
    </row>
    <row r="54" spans="1:15" x14ac:dyDescent="0.25">
      <c r="A54" s="10"/>
      <c r="B54" s="6" t="s">
        <v>47</v>
      </c>
      <c r="O54" s="11"/>
    </row>
    <row r="55" spans="1:15" x14ac:dyDescent="0.25">
      <c r="A55" s="10"/>
      <c r="B55" s="26">
        <f ca="1">IF(H10="","",Pontos!B38)</f>
        <v>2038</v>
      </c>
      <c r="C55" s="26"/>
      <c r="O55" s="11"/>
    </row>
    <row r="56" spans="1:15" ht="9" customHeight="1" x14ac:dyDescent="0.25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7"/>
    </row>
  </sheetData>
  <sheetProtection password="8162" sheet="1" objects="1" scenarios="1" selectLockedCells="1"/>
  <mergeCells count="6">
    <mergeCell ref="B55:C55"/>
    <mergeCell ref="A1:O1"/>
    <mergeCell ref="B4:N4"/>
    <mergeCell ref="B13:N13"/>
    <mergeCell ref="B10:D10"/>
    <mergeCell ref="B7:N7"/>
  </mergeCells>
  <printOptions horizontalCentered="1"/>
  <pageMargins left="0.51181102362204722" right="0.51181102362204722" top="0.59055118110236227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12" sqref="B12"/>
    </sheetView>
  </sheetViews>
  <sheetFormatPr defaultRowHeight="15" x14ac:dyDescent="0.25"/>
  <cols>
    <col min="1" max="1" width="24.42578125" bestFit="1" customWidth="1"/>
    <col min="2" max="2" width="10.7109375" bestFit="1" customWidth="1"/>
    <col min="5" max="5" width="22" bestFit="1" customWidth="1"/>
    <col min="6" max="6" width="10.7109375" bestFit="1" customWidth="1"/>
  </cols>
  <sheetData>
    <row r="1" spans="1:6" x14ac:dyDescent="0.25">
      <c r="A1" t="s">
        <v>12</v>
      </c>
      <c r="B1" s="4">
        <f ca="1">TODAY()</f>
        <v>45666</v>
      </c>
      <c r="E1" t="s">
        <v>25</v>
      </c>
      <c r="F1" s="4">
        <f>Simulador!B10</f>
        <v>26791</v>
      </c>
    </row>
    <row r="2" spans="1:6" x14ac:dyDescent="0.25">
      <c r="A2" t="s">
        <v>13</v>
      </c>
      <c r="B2" s="4">
        <v>44067</v>
      </c>
      <c r="E2" t="s">
        <v>4</v>
      </c>
      <c r="F2">
        <f ca="1">INT(DAYS360(F1,B1)/360)</f>
        <v>51</v>
      </c>
    </row>
    <row r="3" spans="1:6" x14ac:dyDescent="0.25">
      <c r="A3" t="s">
        <v>14</v>
      </c>
      <c r="B3">
        <f ca="1">INT(DAYS360(B2,B1)/30)</f>
        <v>52</v>
      </c>
      <c r="E3" t="s">
        <v>6</v>
      </c>
      <c r="F3" t="str">
        <f>Simulador!M10</f>
        <v>M</v>
      </c>
    </row>
    <row r="4" spans="1:6" x14ac:dyDescent="0.25">
      <c r="A4" t="s">
        <v>19</v>
      </c>
      <c r="B4">
        <f>IF(F3="M",35*12,30*12)</f>
        <v>420</v>
      </c>
      <c r="E4" t="s">
        <v>20</v>
      </c>
    </row>
    <row r="5" spans="1:6" x14ac:dyDescent="0.25">
      <c r="A5" t="s">
        <v>49</v>
      </c>
      <c r="B5">
        <f>IF(F3="M",35,IF(F3="F",30,""))</f>
        <v>35</v>
      </c>
      <c r="E5" t="s">
        <v>15</v>
      </c>
      <c r="F5">
        <f>Simulador!H10</f>
        <v>29</v>
      </c>
    </row>
    <row r="6" spans="1:6" x14ac:dyDescent="0.25">
      <c r="E6" t="s">
        <v>16</v>
      </c>
      <c r="F6">
        <f>Simulador!J10</f>
        <v>10</v>
      </c>
    </row>
    <row r="7" spans="1:6" x14ac:dyDescent="0.25">
      <c r="A7" t="s">
        <v>18</v>
      </c>
      <c r="B7">
        <f ca="1">INT(F7-B3)</f>
        <v>306</v>
      </c>
      <c r="E7" t="s">
        <v>17</v>
      </c>
      <c r="F7">
        <f>F5*12+F6</f>
        <v>358</v>
      </c>
    </row>
    <row r="8" spans="1:6" x14ac:dyDescent="0.25">
      <c r="A8" t="s">
        <v>21</v>
      </c>
      <c r="B8">
        <f ca="1">IF(B4="","",IF(B4-B7&gt;0,B4-B7,0))</f>
        <v>114</v>
      </c>
    </row>
    <row r="9" spans="1:6" x14ac:dyDescent="0.25">
      <c r="A9" t="s">
        <v>22</v>
      </c>
      <c r="B9">
        <f ca="1">IF(B4="","",B8*2)</f>
        <v>228</v>
      </c>
    </row>
    <row r="10" spans="1:6" x14ac:dyDescent="0.25">
      <c r="A10" t="s">
        <v>23</v>
      </c>
      <c r="B10" s="4">
        <f ca="1">IF(B4="","",B2+(B9*30))</f>
        <v>50907</v>
      </c>
    </row>
    <row r="12" spans="1:6" x14ac:dyDescent="0.25">
      <c r="A12" t="s">
        <v>24</v>
      </c>
      <c r="B12">
        <f>IF(F3="M",60,IF(F3="F",57,""))</f>
        <v>60</v>
      </c>
    </row>
    <row r="13" spans="1:6" x14ac:dyDescent="0.25">
      <c r="A13" t="s">
        <v>26</v>
      </c>
      <c r="B13" s="4">
        <f>IF(B12="","",DATE(YEAR(F1)+B12,MONTH(F1),DAY(F1)))</f>
        <v>48706</v>
      </c>
    </row>
    <row r="15" spans="1:6" x14ac:dyDescent="0.25">
      <c r="A15" t="s">
        <v>27</v>
      </c>
      <c r="B15" t="str">
        <f ca="1">IF(B10&gt;B13,CONCATENATE(MONTH(B10),"/",YEAR(B10)),CONCATENATE("Quando completar ",B12," anos."))</f>
        <v>5/2039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zoomScale="85" zoomScaleNormal="85" workbookViewId="0">
      <selection activeCell="C14" sqref="C14"/>
    </sheetView>
  </sheetViews>
  <sheetFormatPr defaultRowHeight="15" x14ac:dyDescent="0.25"/>
  <cols>
    <col min="1" max="1" width="22" bestFit="1" customWidth="1"/>
    <col min="2" max="2" width="10.7109375" bestFit="1" customWidth="1"/>
    <col min="3" max="3" width="9.42578125" bestFit="1" customWidth="1"/>
    <col min="4" max="4" width="9.28515625" customWidth="1"/>
    <col min="5" max="5" width="17.140625" bestFit="1" customWidth="1"/>
    <col min="6" max="6" width="9.7109375" bestFit="1" customWidth="1"/>
    <col min="7" max="7" width="9.42578125" bestFit="1" customWidth="1"/>
    <col min="8" max="8" width="9.28515625" customWidth="1"/>
    <col min="13" max="13" width="10.140625" customWidth="1"/>
    <col min="14" max="14" width="9.5703125" customWidth="1"/>
  </cols>
  <sheetData>
    <row r="1" spans="1:15" x14ac:dyDescent="0.25">
      <c r="A1" s="2" t="s">
        <v>0</v>
      </c>
      <c r="B1" s="2"/>
      <c r="C1" s="2"/>
      <c r="E1" s="2" t="s">
        <v>1</v>
      </c>
      <c r="I1" t="s">
        <v>7</v>
      </c>
      <c r="L1" t="s">
        <v>4</v>
      </c>
    </row>
    <row r="2" spans="1:15" x14ac:dyDescent="0.25">
      <c r="A2" t="s">
        <v>8</v>
      </c>
      <c r="B2" t="s">
        <v>2</v>
      </c>
      <c r="C2" t="s">
        <v>3</v>
      </c>
      <c r="E2" t="s">
        <v>8</v>
      </c>
      <c r="F2" t="s">
        <v>2</v>
      </c>
      <c r="G2" t="s">
        <v>3</v>
      </c>
      <c r="I2" t="s">
        <v>2</v>
      </c>
      <c r="J2" t="s">
        <v>3</v>
      </c>
      <c r="L2" t="s">
        <v>2</v>
      </c>
      <c r="M2" t="s">
        <v>4</v>
      </c>
      <c r="N2" t="s">
        <v>10</v>
      </c>
      <c r="O2" t="s">
        <v>9</v>
      </c>
    </row>
    <row r="3" spans="1:15" x14ac:dyDescent="0.25">
      <c r="A3" s="1" t="str">
        <f ca="1">IF(IdadeMinima[[#This Row],[Minimo]]=57,"-",IF(IdadeMinima[[#This Row],[Atingiu]]="N","N",IF(A2="S","-",IF(A2="-","-",IF(CalculoPontos[[#This Row],[Pontos]]&lt;PontosHomens[[#This Row],[Pontos]],"N","S")))))</f>
        <v>N</v>
      </c>
      <c r="B3" s="5">
        <f ca="1">YEAR(TODAY())</f>
        <v>2025</v>
      </c>
      <c r="C3" s="1">
        <v>102</v>
      </c>
      <c r="D3" s="1"/>
      <c r="E3" s="1" t="str">
        <f>IF(IdadeMinima[[#This Row],[Minimo]]=62,"-",IF(IdadeMinima[[#This Row],[Atingiu]]="N","N",IF(E2="S","-",IF(E2="-","-",IF(CalculoPontos[[#This Row],[Pontos]]&lt;PontosMulheres[[#This Row],[Pontos]],"N","S")))))</f>
        <v>-</v>
      </c>
      <c r="F3" s="5">
        <f ca="1">YEAR(TODAY())</f>
        <v>2025</v>
      </c>
      <c r="G3" s="2">
        <v>92</v>
      </c>
      <c r="H3" s="2"/>
      <c r="I3" s="5">
        <f ca="1">YEAR(TODAY())</f>
        <v>2025</v>
      </c>
      <c r="J3" s="2">
        <f ca="1">B35+B36</f>
        <v>80</v>
      </c>
      <c r="K3" s="2"/>
      <c r="L3" s="5">
        <f ca="1">YEAR(TODAY())</f>
        <v>2025</v>
      </c>
      <c r="M3">
        <f ca="1">B35</f>
        <v>51</v>
      </c>
      <c r="N3">
        <f t="shared" ref="N3:N31" si="0">IF($B$37="M",62,57)</f>
        <v>62</v>
      </c>
      <c r="O3" t="str">
        <f ca="1">IF(M3&gt;=N3,"S","N")</f>
        <v>N</v>
      </c>
    </row>
    <row r="4" spans="1:15" x14ac:dyDescent="0.25">
      <c r="A4" s="1" t="str">
        <f ca="1">IF(IdadeMinima[[#This Row],[Minimo]]=57,"-",IF(IdadeMinima[[#This Row],[Atingiu]]="N","N",IF(A3="S","-",IF(A3="-","-",IF(CalculoPontos[[#This Row],[Pontos]]&lt;PontosHomens[[#This Row],[Pontos]],"N","S")))))</f>
        <v>N</v>
      </c>
      <c r="B4" s="5">
        <f ca="1">B3+1</f>
        <v>2026</v>
      </c>
      <c r="C4" s="1">
        <v>103</v>
      </c>
      <c r="D4" s="1"/>
      <c r="E4" s="1" t="str">
        <f>IF(IdadeMinima[[#This Row],[Minimo]]=62,"-",IF(IdadeMinima[[#This Row],[Atingiu]]="N","N",IF(E3="S","-",IF(E3="-","-",IF(CalculoPontos[[#This Row],[Pontos]]&lt;PontosMulheres[[#This Row],[Pontos]],"N","S")))))</f>
        <v>-</v>
      </c>
      <c r="F4" s="5">
        <f ca="1">F3+1</f>
        <v>2026</v>
      </c>
      <c r="G4" s="2">
        <v>93</v>
      </c>
      <c r="H4" s="2"/>
      <c r="I4" s="5">
        <f ca="1">I3+1</f>
        <v>2026</v>
      </c>
      <c r="J4" s="2">
        <f ca="1">J3+2</f>
        <v>82</v>
      </c>
      <c r="K4" s="2"/>
      <c r="L4" s="5">
        <f ca="1">L3+1</f>
        <v>2026</v>
      </c>
      <c r="M4">
        <f ca="1">M3+1</f>
        <v>52</v>
      </c>
      <c r="N4">
        <f t="shared" si="0"/>
        <v>62</v>
      </c>
      <c r="O4" t="str">
        <f t="shared" ref="O4:O31" ca="1" si="1">IF(M4&gt;=N4,"S","N")</f>
        <v>N</v>
      </c>
    </row>
    <row r="5" spans="1:15" x14ac:dyDescent="0.25">
      <c r="A5" s="1" t="str">
        <f ca="1">IF(IdadeMinima[[#This Row],[Minimo]]=57,"-",IF(IdadeMinima[[#This Row],[Atingiu]]="N","N",IF(A4="S","-",IF(A4="-","-",IF(CalculoPontos[[#This Row],[Pontos]]&lt;PontosHomens[[#This Row],[Pontos]],"N","S")))))</f>
        <v>N</v>
      </c>
      <c r="B5" s="5">
        <f t="shared" ref="B5:B31" ca="1" si="2">B4+1</f>
        <v>2027</v>
      </c>
      <c r="C5" s="1">
        <v>104</v>
      </c>
      <c r="D5" s="1"/>
      <c r="E5" s="1" t="str">
        <f>IF(IdadeMinima[[#This Row],[Minimo]]=62,"-",IF(IdadeMinima[[#This Row],[Atingiu]]="N","N",IF(E4="S","-",IF(E4="-","-",IF(CalculoPontos[[#This Row],[Pontos]]&lt;PontosMulheres[[#This Row],[Pontos]],"N","S")))))</f>
        <v>-</v>
      </c>
      <c r="F5" s="5">
        <f t="shared" ref="F5:F31" ca="1" si="3">F4+1</f>
        <v>2027</v>
      </c>
      <c r="G5" s="2">
        <v>94</v>
      </c>
      <c r="H5" s="2"/>
      <c r="I5" s="5">
        <f t="shared" ref="I5:I31" ca="1" si="4">I4+1</f>
        <v>2027</v>
      </c>
      <c r="J5" s="2">
        <f t="shared" ref="J5:J26" ca="1" si="5">J4+2</f>
        <v>84</v>
      </c>
      <c r="K5" s="2"/>
      <c r="L5" s="5">
        <f t="shared" ref="L5:L31" ca="1" si="6">L4+1</f>
        <v>2027</v>
      </c>
      <c r="M5">
        <f t="shared" ref="M5:M31" ca="1" si="7">M4+1</f>
        <v>53</v>
      </c>
      <c r="N5">
        <f t="shared" si="0"/>
        <v>62</v>
      </c>
      <c r="O5" t="str">
        <f t="shared" ca="1" si="1"/>
        <v>N</v>
      </c>
    </row>
    <row r="6" spans="1:15" x14ac:dyDescent="0.25">
      <c r="A6" s="1" t="str">
        <f ca="1">IF(IdadeMinima[[#This Row],[Minimo]]=57,"-",IF(IdadeMinima[[#This Row],[Atingiu]]="N","N",IF(A5="S","-",IF(A5="-","-",IF(CalculoPontos[[#This Row],[Pontos]]&lt;PontosHomens[[#This Row],[Pontos]],"N","S")))))</f>
        <v>N</v>
      </c>
      <c r="B6" s="5">
        <f t="shared" ca="1" si="2"/>
        <v>2028</v>
      </c>
      <c r="C6" s="1">
        <v>105</v>
      </c>
      <c r="D6" s="1"/>
      <c r="E6" s="1" t="str">
        <f>IF(IdadeMinima[[#This Row],[Minimo]]=62,"-",IF(IdadeMinima[[#This Row],[Atingiu]]="N","N",IF(E5="S","-",IF(E5="-","-",IF(CalculoPontos[[#This Row],[Pontos]]&lt;PontosMulheres[[#This Row],[Pontos]],"N","S")))))</f>
        <v>-</v>
      </c>
      <c r="F6" s="5">
        <f t="shared" ca="1" si="3"/>
        <v>2028</v>
      </c>
      <c r="G6" s="2">
        <v>95</v>
      </c>
      <c r="H6" s="2"/>
      <c r="I6" s="5">
        <f t="shared" ca="1" si="4"/>
        <v>2028</v>
      </c>
      <c r="J6" s="2">
        <f t="shared" ca="1" si="5"/>
        <v>86</v>
      </c>
      <c r="K6" s="2"/>
      <c r="L6" s="5">
        <f t="shared" ca="1" si="6"/>
        <v>2028</v>
      </c>
      <c r="M6">
        <f t="shared" ca="1" si="7"/>
        <v>54</v>
      </c>
      <c r="N6">
        <f t="shared" si="0"/>
        <v>62</v>
      </c>
      <c r="O6" t="str">
        <f t="shared" ca="1" si="1"/>
        <v>N</v>
      </c>
    </row>
    <row r="7" spans="1:15" x14ac:dyDescent="0.25">
      <c r="A7" s="1" t="str">
        <f ca="1">IF(IdadeMinima[[#This Row],[Minimo]]=57,"-",IF(IdadeMinima[[#This Row],[Atingiu]]="N","N",IF(A6="S","-",IF(A6="-","-",IF(CalculoPontos[[#This Row],[Pontos]]&lt;PontosHomens[[#This Row],[Pontos]],"N","S")))))</f>
        <v>N</v>
      </c>
      <c r="B7" s="5">
        <f t="shared" ca="1" si="2"/>
        <v>2029</v>
      </c>
      <c r="C7" s="1">
        <v>105</v>
      </c>
      <c r="D7" s="1"/>
      <c r="E7" s="1" t="str">
        <f>IF(IdadeMinima[[#This Row],[Minimo]]=62,"-",IF(IdadeMinima[[#This Row],[Atingiu]]="N","N",IF(E6="S","-",IF(E6="-","-",IF(CalculoPontos[[#This Row],[Pontos]]&lt;PontosMulheres[[#This Row],[Pontos]],"N","S")))))</f>
        <v>-</v>
      </c>
      <c r="F7" s="5">
        <f t="shared" ca="1" si="3"/>
        <v>2029</v>
      </c>
      <c r="G7" s="2">
        <v>96</v>
      </c>
      <c r="H7" s="2"/>
      <c r="I7" s="5">
        <f t="shared" ca="1" si="4"/>
        <v>2029</v>
      </c>
      <c r="J7" s="2">
        <f t="shared" ca="1" si="5"/>
        <v>88</v>
      </c>
      <c r="K7" s="2"/>
      <c r="L7" s="5">
        <f t="shared" ca="1" si="6"/>
        <v>2029</v>
      </c>
      <c r="M7">
        <f t="shared" ca="1" si="7"/>
        <v>55</v>
      </c>
      <c r="N7">
        <f t="shared" si="0"/>
        <v>62</v>
      </c>
      <c r="O7" t="str">
        <f t="shared" ca="1" si="1"/>
        <v>N</v>
      </c>
    </row>
    <row r="8" spans="1:15" x14ac:dyDescent="0.25">
      <c r="A8" s="1" t="str">
        <f ca="1">IF(IdadeMinima[[#This Row],[Minimo]]=57,"-",IF(IdadeMinima[[#This Row],[Atingiu]]="N","N",IF(A7="S","-",IF(A7="-","-",IF(CalculoPontos[[#This Row],[Pontos]]&lt;PontosHomens[[#This Row],[Pontos]],"N","S")))))</f>
        <v>N</v>
      </c>
      <c r="B8" s="5">
        <f t="shared" ca="1" si="2"/>
        <v>2030</v>
      </c>
      <c r="C8" s="1">
        <v>105</v>
      </c>
      <c r="D8" s="1"/>
      <c r="E8" s="1" t="str">
        <f>IF(IdadeMinima[[#This Row],[Minimo]]=62,"-",IF(IdadeMinima[[#This Row],[Atingiu]]="N","N",IF(E7="S","-",IF(E7="-","-",IF(CalculoPontos[[#This Row],[Pontos]]&lt;PontosMulheres[[#This Row],[Pontos]],"N","S")))))</f>
        <v>-</v>
      </c>
      <c r="F8" s="5">
        <f t="shared" ca="1" si="3"/>
        <v>2030</v>
      </c>
      <c r="G8" s="2">
        <v>97</v>
      </c>
      <c r="H8" s="2"/>
      <c r="I8" s="5">
        <f t="shared" ca="1" si="4"/>
        <v>2030</v>
      </c>
      <c r="J8" s="2">
        <f t="shared" ca="1" si="5"/>
        <v>90</v>
      </c>
      <c r="K8" s="2"/>
      <c r="L8" s="5">
        <f t="shared" ca="1" si="6"/>
        <v>2030</v>
      </c>
      <c r="M8">
        <f t="shared" ca="1" si="7"/>
        <v>56</v>
      </c>
      <c r="N8">
        <f t="shared" si="0"/>
        <v>62</v>
      </c>
      <c r="O8" t="str">
        <f t="shared" ca="1" si="1"/>
        <v>N</v>
      </c>
    </row>
    <row r="9" spans="1:15" x14ac:dyDescent="0.25">
      <c r="A9" s="1" t="str">
        <f ca="1">IF(IdadeMinima[[#This Row],[Minimo]]=57,"-",IF(IdadeMinima[[#This Row],[Atingiu]]="N","N",IF(A8="S","-",IF(A8="-","-",IF(CalculoPontos[[#This Row],[Pontos]]&lt;PontosHomens[[#This Row],[Pontos]],"N","S")))))</f>
        <v>N</v>
      </c>
      <c r="B9" s="5">
        <f t="shared" ca="1" si="2"/>
        <v>2031</v>
      </c>
      <c r="C9" s="1">
        <v>105</v>
      </c>
      <c r="D9" s="1"/>
      <c r="E9" s="1" t="str">
        <f>IF(IdadeMinima[[#This Row],[Minimo]]=62,"-",IF(IdadeMinima[[#This Row],[Atingiu]]="N","N",IF(E8="S","-",IF(E8="-","-",IF(CalculoPontos[[#This Row],[Pontos]]&lt;PontosMulheres[[#This Row],[Pontos]],"N","S")))))</f>
        <v>-</v>
      </c>
      <c r="F9" s="5">
        <f t="shared" ca="1" si="3"/>
        <v>2031</v>
      </c>
      <c r="G9" s="2">
        <v>98</v>
      </c>
      <c r="H9" s="2"/>
      <c r="I9" s="5">
        <f t="shared" ca="1" si="4"/>
        <v>2031</v>
      </c>
      <c r="J9" s="2">
        <f t="shared" ca="1" si="5"/>
        <v>92</v>
      </c>
      <c r="K9" s="2"/>
      <c r="L9" s="5">
        <f t="shared" ca="1" si="6"/>
        <v>2031</v>
      </c>
      <c r="M9">
        <f t="shared" ca="1" si="7"/>
        <v>57</v>
      </c>
      <c r="N9">
        <f t="shared" si="0"/>
        <v>62</v>
      </c>
      <c r="O9" t="str">
        <f t="shared" ca="1" si="1"/>
        <v>N</v>
      </c>
    </row>
    <row r="10" spans="1:15" x14ac:dyDescent="0.25">
      <c r="A10" s="1" t="str">
        <f ca="1">IF(IdadeMinima[[#This Row],[Minimo]]=57,"-",IF(IdadeMinima[[#This Row],[Atingiu]]="N","N",IF(A9="S","-",IF(A9="-","-",IF(CalculoPontos[[#This Row],[Pontos]]&lt;PontosHomens[[#This Row],[Pontos]],"N","S")))))</f>
        <v>N</v>
      </c>
      <c r="B10" s="5">
        <f t="shared" ca="1" si="2"/>
        <v>2032</v>
      </c>
      <c r="C10" s="1">
        <v>105</v>
      </c>
      <c r="D10" s="1"/>
      <c r="E10" s="1" t="str">
        <f>IF(IdadeMinima[[#This Row],[Minimo]]=62,"-",IF(IdadeMinima[[#This Row],[Atingiu]]="N","N",IF(E9="S","-",IF(E9="-","-",IF(CalculoPontos[[#This Row],[Pontos]]&lt;PontosMulheres[[#This Row],[Pontos]],"N","S")))))</f>
        <v>-</v>
      </c>
      <c r="F10" s="5">
        <f t="shared" ca="1" si="3"/>
        <v>2032</v>
      </c>
      <c r="G10" s="2">
        <v>99</v>
      </c>
      <c r="H10" s="2"/>
      <c r="I10" s="5">
        <f t="shared" ca="1" si="4"/>
        <v>2032</v>
      </c>
      <c r="J10" s="2">
        <f t="shared" ca="1" si="5"/>
        <v>94</v>
      </c>
      <c r="K10" s="2"/>
      <c r="L10" s="5">
        <f t="shared" ca="1" si="6"/>
        <v>2032</v>
      </c>
      <c r="M10">
        <f t="shared" ca="1" si="7"/>
        <v>58</v>
      </c>
      <c r="N10">
        <f t="shared" si="0"/>
        <v>62</v>
      </c>
      <c r="O10" t="str">
        <f t="shared" ca="1" si="1"/>
        <v>N</v>
      </c>
    </row>
    <row r="11" spans="1:15" x14ac:dyDescent="0.25">
      <c r="A11" s="1" t="str">
        <f ca="1">IF(IdadeMinima[[#This Row],[Minimo]]=57,"-",IF(IdadeMinima[[#This Row],[Atingiu]]="N","N",IF(A10="S","-",IF(A10="-","-",IF(CalculoPontos[[#This Row],[Pontos]]&lt;PontosHomens[[#This Row],[Pontos]],"N","S")))))</f>
        <v>N</v>
      </c>
      <c r="B11" s="5">
        <f t="shared" ca="1" si="2"/>
        <v>2033</v>
      </c>
      <c r="C11" s="1">
        <v>105</v>
      </c>
      <c r="D11" s="1"/>
      <c r="E11" s="1" t="str">
        <f>IF(IdadeMinima[[#This Row],[Minimo]]=62,"-",IF(IdadeMinima[[#This Row],[Atingiu]]="N","N",IF(E10="S","-",IF(E10="-","-",IF(CalculoPontos[[#This Row],[Pontos]]&lt;PontosMulheres[[#This Row],[Pontos]],"N","S")))))</f>
        <v>-</v>
      </c>
      <c r="F11" s="5">
        <f t="shared" ca="1" si="3"/>
        <v>2033</v>
      </c>
      <c r="G11" s="2">
        <v>100</v>
      </c>
      <c r="H11" s="2"/>
      <c r="I11" s="5">
        <f t="shared" ca="1" si="4"/>
        <v>2033</v>
      </c>
      <c r="J11" s="2">
        <f t="shared" ca="1" si="5"/>
        <v>96</v>
      </c>
      <c r="K11" s="2"/>
      <c r="L11" s="5">
        <f t="shared" ca="1" si="6"/>
        <v>2033</v>
      </c>
      <c r="M11">
        <f t="shared" ca="1" si="7"/>
        <v>59</v>
      </c>
      <c r="N11">
        <f t="shared" si="0"/>
        <v>62</v>
      </c>
      <c r="O11" t="str">
        <f t="shared" ca="1" si="1"/>
        <v>N</v>
      </c>
    </row>
    <row r="12" spans="1:15" x14ac:dyDescent="0.25">
      <c r="A12" s="1" t="str">
        <f ca="1">IF(IdadeMinima[[#This Row],[Minimo]]=57,"-",IF(IdadeMinima[[#This Row],[Atingiu]]="N","N",IF(A11="S","-",IF(A11="-","-",IF(CalculoPontos[[#This Row],[Pontos]]&lt;PontosHomens[[#This Row],[Pontos]],"N","S")))))</f>
        <v>N</v>
      </c>
      <c r="B12" s="5">
        <f t="shared" ca="1" si="2"/>
        <v>2034</v>
      </c>
      <c r="C12" s="1">
        <v>105</v>
      </c>
      <c r="D12" s="1"/>
      <c r="E12" s="1" t="str">
        <f>IF(IdadeMinima[[#This Row],[Minimo]]=62,"-",IF(IdadeMinima[[#This Row],[Atingiu]]="N","N",IF(E11="S","-",IF(E11="-","-",IF(CalculoPontos[[#This Row],[Pontos]]&lt;PontosMulheres[[#This Row],[Pontos]],"N","S")))))</f>
        <v>-</v>
      </c>
      <c r="F12" s="5">
        <f t="shared" ca="1" si="3"/>
        <v>2034</v>
      </c>
      <c r="G12" s="2">
        <v>100</v>
      </c>
      <c r="H12" s="2"/>
      <c r="I12" s="5">
        <f t="shared" ca="1" si="4"/>
        <v>2034</v>
      </c>
      <c r="J12" s="2">
        <f t="shared" ca="1" si="5"/>
        <v>98</v>
      </c>
      <c r="K12" s="2"/>
      <c r="L12" s="5">
        <f t="shared" ca="1" si="6"/>
        <v>2034</v>
      </c>
      <c r="M12">
        <f t="shared" ca="1" si="7"/>
        <v>60</v>
      </c>
      <c r="N12">
        <f t="shared" si="0"/>
        <v>62</v>
      </c>
      <c r="O12" t="str">
        <f t="shared" ca="1" si="1"/>
        <v>N</v>
      </c>
    </row>
    <row r="13" spans="1:15" x14ac:dyDescent="0.25">
      <c r="A13" s="1" t="str">
        <f ca="1">IF(IdadeMinima[[#This Row],[Minimo]]=57,"-",IF(IdadeMinima[[#This Row],[Atingiu]]="N","N",IF(A12="S","-",IF(A12="-","-",IF(CalculoPontos[[#This Row],[Pontos]]&lt;PontosHomens[[#This Row],[Pontos]],"N","S")))))</f>
        <v>N</v>
      </c>
      <c r="B13" s="5">
        <f t="shared" ca="1" si="2"/>
        <v>2035</v>
      </c>
      <c r="C13" s="1">
        <v>105</v>
      </c>
      <c r="D13" s="1"/>
      <c r="E13" s="1" t="str">
        <f>IF(IdadeMinima[[#This Row],[Minimo]]=62,"-",IF(IdadeMinima[[#This Row],[Atingiu]]="N","N",IF(E12="S","-",IF(E12="-","-",IF(CalculoPontos[[#This Row],[Pontos]]&lt;PontosMulheres[[#This Row],[Pontos]],"N","S")))))</f>
        <v>-</v>
      </c>
      <c r="F13" s="5">
        <f t="shared" ca="1" si="3"/>
        <v>2035</v>
      </c>
      <c r="G13" s="2">
        <v>100</v>
      </c>
      <c r="H13" s="2"/>
      <c r="I13" s="5">
        <f t="shared" ca="1" si="4"/>
        <v>2035</v>
      </c>
      <c r="J13" s="2">
        <f t="shared" ca="1" si="5"/>
        <v>100</v>
      </c>
      <c r="K13" s="2"/>
      <c r="L13" s="5">
        <f t="shared" ca="1" si="6"/>
        <v>2035</v>
      </c>
      <c r="M13">
        <f t="shared" ca="1" si="7"/>
        <v>61</v>
      </c>
      <c r="N13">
        <f t="shared" si="0"/>
        <v>62</v>
      </c>
      <c r="O13" t="str">
        <f t="shared" ca="1" si="1"/>
        <v>N</v>
      </c>
    </row>
    <row r="14" spans="1:15" x14ac:dyDescent="0.25">
      <c r="A14" s="1" t="str">
        <f ca="1">IF(IdadeMinima[[#This Row],[Minimo]]=57,"-",IF(IdadeMinima[[#This Row],[Atingiu]]="N","N",IF(A13="S","-",IF(A13="-","-",IF(CalculoPontos[[#This Row],[Pontos]]&lt;PontosHomens[[#This Row],[Pontos]],"N","S")))))</f>
        <v>N</v>
      </c>
      <c r="B14" s="5">
        <f t="shared" ca="1" si="2"/>
        <v>2036</v>
      </c>
      <c r="C14" s="1">
        <v>105</v>
      </c>
      <c r="D14" s="1"/>
      <c r="E14" s="1" t="str">
        <f>IF(IdadeMinima[[#This Row],[Minimo]]=62,"-",IF(IdadeMinima[[#This Row],[Atingiu]]="N","N",IF(E13="S","-",IF(E13="-","-",IF(CalculoPontos[[#This Row],[Pontos]]&lt;PontosMulheres[[#This Row],[Pontos]],"N","S")))))</f>
        <v>-</v>
      </c>
      <c r="F14" s="5">
        <f t="shared" ca="1" si="3"/>
        <v>2036</v>
      </c>
      <c r="G14" s="2">
        <v>100</v>
      </c>
      <c r="H14" s="2"/>
      <c r="I14" s="5">
        <f t="shared" ca="1" si="4"/>
        <v>2036</v>
      </c>
      <c r="J14" s="2">
        <f t="shared" ca="1" si="5"/>
        <v>102</v>
      </c>
      <c r="K14" s="2"/>
      <c r="L14" s="5">
        <f t="shared" ca="1" si="6"/>
        <v>2036</v>
      </c>
      <c r="M14">
        <f t="shared" ca="1" si="7"/>
        <v>62</v>
      </c>
      <c r="N14">
        <f t="shared" si="0"/>
        <v>62</v>
      </c>
      <c r="O14" t="str">
        <f t="shared" ca="1" si="1"/>
        <v>S</v>
      </c>
    </row>
    <row r="15" spans="1:15" x14ac:dyDescent="0.25">
      <c r="A15" s="1" t="str">
        <f ca="1">IF(IdadeMinima[[#This Row],[Minimo]]=57,"-",IF(IdadeMinima[[#This Row],[Atingiu]]="N","N",IF(A14="S","-",IF(A14="-","-",IF(CalculoPontos[[#This Row],[Pontos]]&lt;PontosHomens[[#This Row],[Pontos]],"N","S")))))</f>
        <v>N</v>
      </c>
      <c r="B15" s="5">
        <f t="shared" ca="1" si="2"/>
        <v>2037</v>
      </c>
      <c r="C15" s="1">
        <v>105</v>
      </c>
      <c r="D15" s="1"/>
      <c r="E15" s="1" t="str">
        <f>IF(IdadeMinima[[#This Row],[Minimo]]=62,"-",IF(IdadeMinima[[#This Row],[Atingiu]]="N","N",IF(E14="S","-",IF(E14="-","-",IF(CalculoPontos[[#This Row],[Pontos]]&lt;PontosMulheres[[#This Row],[Pontos]],"N","S")))))</f>
        <v>-</v>
      </c>
      <c r="F15" s="5">
        <f t="shared" ca="1" si="3"/>
        <v>2037</v>
      </c>
      <c r="G15" s="2">
        <v>100</v>
      </c>
      <c r="H15" s="2"/>
      <c r="I15" s="5">
        <f t="shared" ca="1" si="4"/>
        <v>2037</v>
      </c>
      <c r="J15" s="2">
        <f t="shared" ca="1" si="5"/>
        <v>104</v>
      </c>
      <c r="K15" s="2"/>
      <c r="L15" s="5">
        <f t="shared" ca="1" si="6"/>
        <v>2037</v>
      </c>
      <c r="M15">
        <f t="shared" ca="1" si="7"/>
        <v>63</v>
      </c>
      <c r="N15">
        <f t="shared" si="0"/>
        <v>62</v>
      </c>
      <c r="O15" t="str">
        <f t="shared" ca="1" si="1"/>
        <v>S</v>
      </c>
    </row>
    <row r="16" spans="1:15" x14ac:dyDescent="0.25">
      <c r="A16" s="1" t="str">
        <f ca="1">IF(IdadeMinima[[#This Row],[Minimo]]=57,"-",IF(IdadeMinima[[#This Row],[Atingiu]]="N","N",IF(A15="S","-",IF(A15="-","-",IF(CalculoPontos[[#This Row],[Pontos]]&lt;PontosHomens[[#This Row],[Pontos]],"N","S")))))</f>
        <v>S</v>
      </c>
      <c r="B16" s="5">
        <f t="shared" ca="1" si="2"/>
        <v>2038</v>
      </c>
      <c r="C16" s="1">
        <v>105</v>
      </c>
      <c r="D16" s="1"/>
      <c r="E16" s="1" t="str">
        <f>IF(IdadeMinima[[#This Row],[Minimo]]=62,"-",IF(IdadeMinima[[#This Row],[Atingiu]]="N","N",IF(E15="S","-",IF(E15="-","-",IF(CalculoPontos[[#This Row],[Pontos]]&lt;PontosMulheres[[#This Row],[Pontos]],"N","S")))))</f>
        <v>-</v>
      </c>
      <c r="F16" s="5">
        <f t="shared" ca="1" si="3"/>
        <v>2038</v>
      </c>
      <c r="G16" s="2">
        <v>100</v>
      </c>
      <c r="H16" s="2"/>
      <c r="I16" s="5">
        <f t="shared" ca="1" si="4"/>
        <v>2038</v>
      </c>
      <c r="J16" s="2">
        <f t="shared" ca="1" si="5"/>
        <v>106</v>
      </c>
      <c r="K16" s="2"/>
      <c r="L16" s="5">
        <f t="shared" ca="1" si="6"/>
        <v>2038</v>
      </c>
      <c r="M16">
        <f t="shared" ca="1" si="7"/>
        <v>64</v>
      </c>
      <c r="N16">
        <f t="shared" si="0"/>
        <v>62</v>
      </c>
      <c r="O16" t="str">
        <f t="shared" ca="1" si="1"/>
        <v>S</v>
      </c>
    </row>
    <row r="17" spans="1:15" x14ac:dyDescent="0.25">
      <c r="A17" s="1" t="str">
        <f ca="1">IF(IdadeMinima[[#This Row],[Minimo]]=57,"-",IF(IdadeMinima[[#This Row],[Atingiu]]="N","N",IF(A16="S","-",IF(A16="-","-",IF(CalculoPontos[[#This Row],[Pontos]]&lt;PontosHomens[[#This Row],[Pontos]],"N","S")))))</f>
        <v>-</v>
      </c>
      <c r="B17" s="5">
        <f t="shared" ca="1" si="2"/>
        <v>2039</v>
      </c>
      <c r="C17" s="1">
        <v>105</v>
      </c>
      <c r="D17" s="1"/>
      <c r="E17" s="1" t="str">
        <f>IF(IdadeMinima[[#This Row],[Minimo]]=62,"-",IF(IdadeMinima[[#This Row],[Atingiu]]="N","N",IF(E16="S","-",IF(E16="-","-",IF(CalculoPontos[[#This Row],[Pontos]]&lt;PontosMulheres[[#This Row],[Pontos]],"N","S")))))</f>
        <v>-</v>
      </c>
      <c r="F17" s="5">
        <f t="shared" ca="1" si="3"/>
        <v>2039</v>
      </c>
      <c r="G17" s="2">
        <v>100</v>
      </c>
      <c r="H17" s="2"/>
      <c r="I17" s="5">
        <f t="shared" ca="1" si="4"/>
        <v>2039</v>
      </c>
      <c r="J17" s="2">
        <f t="shared" ca="1" si="5"/>
        <v>108</v>
      </c>
      <c r="K17" s="2"/>
      <c r="L17" s="5">
        <f t="shared" ca="1" si="6"/>
        <v>2039</v>
      </c>
      <c r="M17">
        <f t="shared" ca="1" si="7"/>
        <v>65</v>
      </c>
      <c r="N17">
        <f t="shared" si="0"/>
        <v>62</v>
      </c>
      <c r="O17" t="str">
        <f t="shared" ca="1" si="1"/>
        <v>S</v>
      </c>
    </row>
    <row r="18" spans="1:15" x14ac:dyDescent="0.25">
      <c r="A18" s="1" t="str">
        <f ca="1">IF(IdadeMinima[[#This Row],[Minimo]]=57,"-",IF(IdadeMinima[[#This Row],[Atingiu]]="N","N",IF(A17="S","-",IF(A17="-","-",IF(CalculoPontos[[#This Row],[Pontos]]&lt;PontosHomens[[#This Row],[Pontos]],"N","S")))))</f>
        <v>-</v>
      </c>
      <c r="B18" s="5">
        <f t="shared" ca="1" si="2"/>
        <v>2040</v>
      </c>
      <c r="C18" s="1">
        <v>105</v>
      </c>
      <c r="D18" s="1"/>
      <c r="E18" s="1" t="str">
        <f>IF(IdadeMinima[[#This Row],[Minimo]]=62,"-",IF(IdadeMinima[[#This Row],[Atingiu]]="N","N",IF(E17="S","-",IF(E17="-","-",IF(CalculoPontos[[#This Row],[Pontos]]&lt;PontosMulheres[[#This Row],[Pontos]],"N","S")))))</f>
        <v>-</v>
      </c>
      <c r="F18" s="5">
        <f t="shared" ca="1" si="3"/>
        <v>2040</v>
      </c>
      <c r="G18" s="2">
        <v>100</v>
      </c>
      <c r="H18" s="2"/>
      <c r="I18" s="5">
        <f t="shared" ca="1" si="4"/>
        <v>2040</v>
      </c>
      <c r="J18" s="2">
        <f t="shared" ca="1" si="5"/>
        <v>110</v>
      </c>
      <c r="K18" s="2"/>
      <c r="L18" s="5">
        <f t="shared" ca="1" si="6"/>
        <v>2040</v>
      </c>
      <c r="M18">
        <f t="shared" ca="1" si="7"/>
        <v>66</v>
      </c>
      <c r="N18">
        <f t="shared" si="0"/>
        <v>62</v>
      </c>
      <c r="O18" t="str">
        <f t="shared" ca="1" si="1"/>
        <v>S</v>
      </c>
    </row>
    <row r="19" spans="1:15" x14ac:dyDescent="0.25">
      <c r="A19" s="1" t="str">
        <f ca="1">IF(IdadeMinima[[#This Row],[Minimo]]=57,"-",IF(IdadeMinima[[#This Row],[Atingiu]]="N","N",IF(A18="S","-",IF(A18="-","-",IF(CalculoPontos[[#This Row],[Pontos]]&lt;PontosHomens[[#This Row],[Pontos]],"N","S")))))</f>
        <v>-</v>
      </c>
      <c r="B19" s="5">
        <f t="shared" ca="1" si="2"/>
        <v>2041</v>
      </c>
      <c r="C19" s="1">
        <v>105</v>
      </c>
      <c r="D19" s="1"/>
      <c r="E19" s="1" t="str">
        <f>IF(IdadeMinima[[#This Row],[Minimo]]=62,"-",IF(IdadeMinima[[#This Row],[Atingiu]]="N","N",IF(E18="S","-",IF(E18="-","-",IF(CalculoPontos[[#This Row],[Pontos]]&lt;PontosMulheres[[#This Row],[Pontos]],"N","S")))))</f>
        <v>-</v>
      </c>
      <c r="F19" s="5">
        <f t="shared" ca="1" si="3"/>
        <v>2041</v>
      </c>
      <c r="G19" s="2">
        <v>100</v>
      </c>
      <c r="H19" s="2"/>
      <c r="I19" s="5">
        <f t="shared" ca="1" si="4"/>
        <v>2041</v>
      </c>
      <c r="J19" s="2">
        <f t="shared" ca="1" si="5"/>
        <v>112</v>
      </c>
      <c r="K19" s="2"/>
      <c r="L19" s="5">
        <f t="shared" ca="1" si="6"/>
        <v>2041</v>
      </c>
      <c r="M19">
        <f t="shared" ca="1" si="7"/>
        <v>67</v>
      </c>
      <c r="N19">
        <f t="shared" si="0"/>
        <v>62</v>
      </c>
      <c r="O19" t="str">
        <f t="shared" ca="1" si="1"/>
        <v>S</v>
      </c>
    </row>
    <row r="20" spans="1:15" x14ac:dyDescent="0.25">
      <c r="A20" s="1" t="str">
        <f ca="1">IF(IdadeMinima[[#This Row],[Minimo]]=57,"-",IF(IdadeMinima[[#This Row],[Atingiu]]="N","N",IF(A19="S","-",IF(A19="-","-",IF(CalculoPontos[[#This Row],[Pontos]]&lt;PontosHomens[[#This Row],[Pontos]],"N","S")))))</f>
        <v>-</v>
      </c>
      <c r="B20" s="5">
        <f t="shared" ca="1" si="2"/>
        <v>2042</v>
      </c>
      <c r="C20" s="1">
        <v>105</v>
      </c>
      <c r="D20" s="1"/>
      <c r="E20" s="1" t="str">
        <f>IF(IdadeMinima[[#This Row],[Minimo]]=62,"-",IF(IdadeMinima[[#This Row],[Atingiu]]="N","N",IF(E19="S","-",IF(E19="-","-",IF(CalculoPontos[[#This Row],[Pontos]]&lt;PontosMulheres[[#This Row],[Pontos]],"N","S")))))</f>
        <v>-</v>
      </c>
      <c r="F20" s="5">
        <f t="shared" ca="1" si="3"/>
        <v>2042</v>
      </c>
      <c r="G20" s="2">
        <v>100</v>
      </c>
      <c r="H20" s="2"/>
      <c r="I20" s="5">
        <f t="shared" ca="1" si="4"/>
        <v>2042</v>
      </c>
      <c r="J20" s="2">
        <f t="shared" ca="1" si="5"/>
        <v>114</v>
      </c>
      <c r="K20" s="2"/>
      <c r="L20" s="5">
        <f t="shared" ca="1" si="6"/>
        <v>2042</v>
      </c>
      <c r="M20">
        <f t="shared" ca="1" si="7"/>
        <v>68</v>
      </c>
      <c r="N20">
        <f t="shared" si="0"/>
        <v>62</v>
      </c>
      <c r="O20" t="str">
        <f t="shared" ca="1" si="1"/>
        <v>S</v>
      </c>
    </row>
    <row r="21" spans="1:15" x14ac:dyDescent="0.25">
      <c r="A21" s="1" t="str">
        <f ca="1">IF(IdadeMinima[[#This Row],[Minimo]]=57,"-",IF(IdadeMinima[[#This Row],[Atingiu]]="N","N",IF(A20="S","-",IF(A20="-","-",IF(CalculoPontos[[#This Row],[Pontos]]&lt;PontosHomens[[#This Row],[Pontos]],"N","S")))))</f>
        <v>-</v>
      </c>
      <c r="B21" s="5">
        <f t="shared" ca="1" si="2"/>
        <v>2043</v>
      </c>
      <c r="C21" s="1">
        <v>105</v>
      </c>
      <c r="D21" s="1"/>
      <c r="E21" s="1" t="str">
        <f>IF(IdadeMinima[[#This Row],[Minimo]]=62,"-",IF(IdadeMinima[[#This Row],[Atingiu]]="N","N",IF(E20="S","-",IF(E20="-","-",IF(CalculoPontos[[#This Row],[Pontos]]&lt;PontosMulheres[[#This Row],[Pontos]],"N","S")))))</f>
        <v>-</v>
      </c>
      <c r="F21" s="5">
        <f t="shared" ca="1" si="3"/>
        <v>2043</v>
      </c>
      <c r="G21" s="2">
        <v>100</v>
      </c>
      <c r="H21" s="2"/>
      <c r="I21" s="5">
        <f t="shared" ca="1" si="4"/>
        <v>2043</v>
      </c>
      <c r="J21" s="2">
        <f t="shared" ca="1" si="5"/>
        <v>116</v>
      </c>
      <c r="K21" s="2"/>
      <c r="L21" s="5">
        <f t="shared" ca="1" si="6"/>
        <v>2043</v>
      </c>
      <c r="M21">
        <f t="shared" ca="1" si="7"/>
        <v>69</v>
      </c>
      <c r="N21">
        <f t="shared" si="0"/>
        <v>62</v>
      </c>
      <c r="O21" t="str">
        <f t="shared" ca="1" si="1"/>
        <v>S</v>
      </c>
    </row>
    <row r="22" spans="1:15" x14ac:dyDescent="0.25">
      <c r="A22" s="1" t="str">
        <f ca="1">IF(IdadeMinima[[#This Row],[Minimo]]=57,"-",IF(IdadeMinima[[#This Row],[Atingiu]]="N","N",IF(A21="S","-",IF(A21="-","-",IF(CalculoPontos[[#This Row],[Pontos]]&lt;PontosHomens[[#This Row],[Pontos]],"N","S")))))</f>
        <v>-</v>
      </c>
      <c r="B22" s="5">
        <f t="shared" ca="1" si="2"/>
        <v>2044</v>
      </c>
      <c r="C22" s="1">
        <v>105</v>
      </c>
      <c r="D22" s="1"/>
      <c r="E22" s="1" t="str">
        <f>IF(IdadeMinima[[#This Row],[Minimo]]=62,"-",IF(IdadeMinima[[#This Row],[Atingiu]]="N","N",IF(E21="S","-",IF(E21="-","-",IF(CalculoPontos[[#This Row],[Pontos]]&lt;PontosMulheres[[#This Row],[Pontos]],"N","S")))))</f>
        <v>-</v>
      </c>
      <c r="F22" s="5">
        <f t="shared" ca="1" si="3"/>
        <v>2044</v>
      </c>
      <c r="G22" s="2">
        <v>100</v>
      </c>
      <c r="H22" s="2"/>
      <c r="I22" s="5">
        <f t="shared" ca="1" si="4"/>
        <v>2044</v>
      </c>
      <c r="J22" s="2">
        <f t="shared" ca="1" si="5"/>
        <v>118</v>
      </c>
      <c r="K22" s="2"/>
      <c r="L22" s="5">
        <f t="shared" ca="1" si="6"/>
        <v>2044</v>
      </c>
      <c r="M22">
        <f t="shared" ca="1" si="7"/>
        <v>70</v>
      </c>
      <c r="N22">
        <f t="shared" si="0"/>
        <v>62</v>
      </c>
      <c r="O22" t="str">
        <f t="shared" ca="1" si="1"/>
        <v>S</v>
      </c>
    </row>
    <row r="23" spans="1:15" x14ac:dyDescent="0.25">
      <c r="A23" s="1" t="str">
        <f ca="1">IF(IdadeMinima[[#This Row],[Minimo]]=57,"-",IF(IdadeMinima[[#This Row],[Atingiu]]="N","N",IF(A22="S","-",IF(A22="-","-",IF(CalculoPontos[[#This Row],[Pontos]]&lt;PontosHomens[[#This Row],[Pontos]],"N","S")))))</f>
        <v>-</v>
      </c>
      <c r="B23" s="5">
        <f t="shared" ca="1" si="2"/>
        <v>2045</v>
      </c>
      <c r="C23" s="1">
        <v>105</v>
      </c>
      <c r="D23" s="1"/>
      <c r="E23" s="1" t="str">
        <f>IF(IdadeMinima[[#This Row],[Minimo]]=62,"-",IF(IdadeMinima[[#This Row],[Atingiu]]="N","N",IF(E22="S","-",IF(E22="-","-",IF(CalculoPontos[[#This Row],[Pontos]]&lt;PontosMulheres[[#This Row],[Pontos]],"N","S")))))</f>
        <v>-</v>
      </c>
      <c r="F23" s="5">
        <f t="shared" ca="1" si="3"/>
        <v>2045</v>
      </c>
      <c r="G23" s="2">
        <v>100</v>
      </c>
      <c r="H23" s="2"/>
      <c r="I23" s="5">
        <f t="shared" ca="1" si="4"/>
        <v>2045</v>
      </c>
      <c r="J23" s="2">
        <f t="shared" ca="1" si="5"/>
        <v>120</v>
      </c>
      <c r="K23" s="2"/>
      <c r="L23" s="5">
        <f t="shared" ca="1" si="6"/>
        <v>2045</v>
      </c>
      <c r="M23">
        <f t="shared" ca="1" si="7"/>
        <v>71</v>
      </c>
      <c r="N23">
        <f t="shared" si="0"/>
        <v>62</v>
      </c>
      <c r="O23" t="str">
        <f t="shared" ca="1" si="1"/>
        <v>S</v>
      </c>
    </row>
    <row r="24" spans="1:15" x14ac:dyDescent="0.25">
      <c r="A24" s="1" t="str">
        <f ca="1">IF(IdadeMinima[[#This Row],[Minimo]]=57,"-",IF(IdadeMinima[[#This Row],[Atingiu]]="N","N",IF(A23="S","-",IF(A23="-","-",IF(CalculoPontos[[#This Row],[Pontos]]&lt;PontosHomens[[#This Row],[Pontos]],"N","S")))))</f>
        <v>-</v>
      </c>
      <c r="B24" s="5">
        <f t="shared" ca="1" si="2"/>
        <v>2046</v>
      </c>
      <c r="C24" s="1">
        <v>105</v>
      </c>
      <c r="D24" s="1"/>
      <c r="E24" s="1" t="str">
        <f>IF(IdadeMinima[[#This Row],[Minimo]]=62,"-",IF(IdadeMinima[[#This Row],[Atingiu]]="N","N",IF(E23="S","-",IF(E23="-","-",IF(CalculoPontos[[#This Row],[Pontos]]&lt;PontosMulheres[[#This Row],[Pontos]],"N","S")))))</f>
        <v>-</v>
      </c>
      <c r="F24" s="5">
        <f t="shared" ca="1" si="3"/>
        <v>2046</v>
      </c>
      <c r="G24" s="2">
        <v>100</v>
      </c>
      <c r="H24" s="2"/>
      <c r="I24" s="5">
        <f t="shared" ca="1" si="4"/>
        <v>2046</v>
      </c>
      <c r="J24" s="2">
        <f t="shared" ca="1" si="5"/>
        <v>122</v>
      </c>
      <c r="K24" s="2"/>
      <c r="L24" s="5">
        <f t="shared" ca="1" si="6"/>
        <v>2046</v>
      </c>
      <c r="M24">
        <f t="shared" ca="1" si="7"/>
        <v>72</v>
      </c>
      <c r="N24">
        <f t="shared" si="0"/>
        <v>62</v>
      </c>
      <c r="O24" t="str">
        <f t="shared" ca="1" si="1"/>
        <v>S</v>
      </c>
    </row>
    <row r="25" spans="1:15" x14ac:dyDescent="0.25">
      <c r="A25" s="1" t="str">
        <f ca="1">IF(IdadeMinima[[#This Row],[Minimo]]=57,"-",IF(IdadeMinima[[#This Row],[Atingiu]]="N","N",IF(A24="S","-",IF(A24="-","-",IF(CalculoPontos[[#This Row],[Pontos]]&lt;PontosHomens[[#This Row],[Pontos]],"N","S")))))</f>
        <v>-</v>
      </c>
      <c r="B25" s="5">
        <f t="shared" ca="1" si="2"/>
        <v>2047</v>
      </c>
      <c r="C25" s="1">
        <v>105</v>
      </c>
      <c r="D25" s="1"/>
      <c r="E25" s="1" t="str">
        <f>IF(IdadeMinima[[#This Row],[Minimo]]=62,"-",IF(IdadeMinima[[#This Row],[Atingiu]]="N","N",IF(E24="S","-",IF(E24="-","-",IF(CalculoPontos[[#This Row],[Pontos]]&lt;PontosMulheres[[#This Row],[Pontos]],"N","S")))))</f>
        <v>-</v>
      </c>
      <c r="F25" s="5">
        <f t="shared" ca="1" si="3"/>
        <v>2047</v>
      </c>
      <c r="G25" s="2">
        <v>100</v>
      </c>
      <c r="H25" s="2"/>
      <c r="I25" s="5">
        <f t="shared" ca="1" si="4"/>
        <v>2047</v>
      </c>
      <c r="J25" s="2">
        <f t="shared" ca="1" si="5"/>
        <v>124</v>
      </c>
      <c r="K25" s="2"/>
      <c r="L25" s="5">
        <f t="shared" ca="1" si="6"/>
        <v>2047</v>
      </c>
      <c r="M25">
        <f t="shared" ca="1" si="7"/>
        <v>73</v>
      </c>
      <c r="N25">
        <f t="shared" si="0"/>
        <v>62</v>
      </c>
      <c r="O25" t="str">
        <f t="shared" ca="1" si="1"/>
        <v>S</v>
      </c>
    </row>
    <row r="26" spans="1:15" x14ac:dyDescent="0.25">
      <c r="A26" s="1" t="str">
        <f ca="1">IF(IdadeMinima[[#This Row],[Minimo]]=57,"-",IF(IdadeMinima[[#This Row],[Atingiu]]="N","N",IF(A25="S","-",IF(A25="-","-",IF(CalculoPontos[[#This Row],[Pontos]]&lt;PontosHomens[[#This Row],[Pontos]],"N","S")))))</f>
        <v>-</v>
      </c>
      <c r="B26" s="5">
        <f t="shared" ca="1" si="2"/>
        <v>2048</v>
      </c>
      <c r="C26" s="1">
        <v>105</v>
      </c>
      <c r="D26" s="1"/>
      <c r="E26" s="1" t="str">
        <f>IF(IdadeMinima[[#This Row],[Minimo]]=62,"-",IF(IdadeMinima[[#This Row],[Atingiu]]="N","N",IF(E25="S","-",IF(E25="-","-",IF(CalculoPontos[[#This Row],[Pontos]]&lt;PontosMulheres[[#This Row],[Pontos]],"N","S")))))</f>
        <v>-</v>
      </c>
      <c r="F26" s="5">
        <f t="shared" ca="1" si="3"/>
        <v>2048</v>
      </c>
      <c r="G26" s="2">
        <v>100</v>
      </c>
      <c r="H26" s="2"/>
      <c r="I26" s="5">
        <f t="shared" ca="1" si="4"/>
        <v>2048</v>
      </c>
      <c r="J26" s="2">
        <f t="shared" ca="1" si="5"/>
        <v>126</v>
      </c>
      <c r="K26" s="2"/>
      <c r="L26" s="5">
        <f t="shared" ca="1" si="6"/>
        <v>2048</v>
      </c>
      <c r="M26">
        <f t="shared" ca="1" si="7"/>
        <v>74</v>
      </c>
      <c r="N26">
        <f t="shared" si="0"/>
        <v>62</v>
      </c>
      <c r="O26" t="str">
        <f t="shared" ca="1" si="1"/>
        <v>S</v>
      </c>
    </row>
    <row r="27" spans="1:15" x14ac:dyDescent="0.25">
      <c r="A27" s="1" t="str">
        <f ca="1">IF(IdadeMinima[[#This Row],[Minimo]]=57,"-",IF(IdadeMinima[[#This Row],[Atingiu]]="N","N",IF(A26="S","-",IF(A26="-","-",IF(CalculoPontos[[#This Row],[Pontos]]&lt;PontosHomens[[#This Row],[Pontos]],"N","S")))))</f>
        <v>-</v>
      </c>
      <c r="B27" s="5">
        <f t="shared" ca="1" si="2"/>
        <v>2049</v>
      </c>
      <c r="C27" s="1">
        <v>105</v>
      </c>
      <c r="D27" s="1"/>
      <c r="E27" s="1" t="str">
        <f>IF(IdadeMinima[[#This Row],[Minimo]]=62,"-",IF(IdadeMinima[[#This Row],[Atingiu]]="N","N",IF(E26="S","-",IF(E26="-","-",IF(CalculoPontos[[#This Row],[Pontos]]&lt;PontosMulheres[[#This Row],[Pontos]],"N","S")))))</f>
        <v>-</v>
      </c>
      <c r="F27" s="5">
        <f t="shared" ca="1" si="3"/>
        <v>2049</v>
      </c>
      <c r="G27" s="2">
        <v>100</v>
      </c>
      <c r="H27" s="2"/>
      <c r="I27" s="5">
        <f t="shared" ca="1" si="4"/>
        <v>2049</v>
      </c>
      <c r="J27" s="2">
        <f t="shared" ref="J27:J31" ca="1" si="8">J26+2</f>
        <v>128</v>
      </c>
      <c r="K27" s="2"/>
      <c r="L27" s="5">
        <f t="shared" ca="1" si="6"/>
        <v>2049</v>
      </c>
      <c r="M27">
        <f t="shared" ca="1" si="7"/>
        <v>75</v>
      </c>
      <c r="N27">
        <f t="shared" si="0"/>
        <v>62</v>
      </c>
      <c r="O27" t="str">
        <f t="shared" ca="1" si="1"/>
        <v>S</v>
      </c>
    </row>
    <row r="28" spans="1:15" x14ac:dyDescent="0.25">
      <c r="A28" s="1" t="str">
        <f ca="1">IF(IdadeMinima[[#This Row],[Minimo]]=57,"-",IF(IdadeMinima[[#This Row],[Atingiu]]="N","N",IF(A27="S","-",IF(A27="-","-",IF(CalculoPontos[[#This Row],[Pontos]]&lt;PontosHomens[[#This Row],[Pontos]],"N","S")))))</f>
        <v>-</v>
      </c>
      <c r="B28" s="5">
        <f t="shared" ca="1" si="2"/>
        <v>2050</v>
      </c>
      <c r="C28" s="1">
        <v>105</v>
      </c>
      <c r="D28" s="1"/>
      <c r="E28" s="1" t="str">
        <f>IF(IdadeMinima[[#This Row],[Minimo]]=62,"-",IF(IdadeMinima[[#This Row],[Atingiu]]="N","N",IF(E27="S","-",IF(E27="-","-",IF(CalculoPontos[[#This Row],[Pontos]]&lt;PontosMulheres[[#This Row],[Pontos]],"N","S")))))</f>
        <v>-</v>
      </c>
      <c r="F28" s="5">
        <f t="shared" ca="1" si="3"/>
        <v>2050</v>
      </c>
      <c r="G28" s="2">
        <v>100</v>
      </c>
      <c r="H28" s="2"/>
      <c r="I28" s="5">
        <f t="shared" ca="1" si="4"/>
        <v>2050</v>
      </c>
      <c r="J28" s="2">
        <f t="shared" ca="1" si="8"/>
        <v>130</v>
      </c>
      <c r="K28" s="2"/>
      <c r="L28" s="5">
        <f t="shared" ca="1" si="6"/>
        <v>2050</v>
      </c>
      <c r="M28">
        <f t="shared" ca="1" si="7"/>
        <v>76</v>
      </c>
      <c r="N28">
        <f t="shared" si="0"/>
        <v>62</v>
      </c>
      <c r="O28" t="str">
        <f t="shared" ca="1" si="1"/>
        <v>S</v>
      </c>
    </row>
    <row r="29" spans="1:15" x14ac:dyDescent="0.25">
      <c r="A29" s="1" t="str">
        <f ca="1">IF(IdadeMinima[[#This Row],[Minimo]]=57,"-",IF(IdadeMinima[[#This Row],[Atingiu]]="N","N",IF(A28="S","-",IF(A28="-","-",IF(CalculoPontos[[#This Row],[Pontos]]&lt;PontosHomens[[#This Row],[Pontos]],"N","S")))))</f>
        <v>-</v>
      </c>
      <c r="B29" s="5">
        <f t="shared" ca="1" si="2"/>
        <v>2051</v>
      </c>
      <c r="C29" s="1">
        <v>105</v>
      </c>
      <c r="D29" s="1"/>
      <c r="E29" s="1" t="str">
        <f>IF(IdadeMinima[[#This Row],[Minimo]]=62,"-",IF(IdadeMinima[[#This Row],[Atingiu]]="N","N",IF(E28="S","-",IF(E28="-","-",IF(CalculoPontos[[#This Row],[Pontos]]&lt;PontosMulheres[[#This Row],[Pontos]],"N","S")))))</f>
        <v>-</v>
      </c>
      <c r="F29" s="5">
        <f t="shared" ca="1" si="3"/>
        <v>2051</v>
      </c>
      <c r="G29" s="2">
        <v>100</v>
      </c>
      <c r="H29" s="2"/>
      <c r="I29" s="5">
        <f t="shared" ca="1" si="4"/>
        <v>2051</v>
      </c>
      <c r="J29" s="2">
        <f t="shared" ca="1" si="8"/>
        <v>132</v>
      </c>
      <c r="K29" s="2"/>
      <c r="L29" s="5">
        <f t="shared" ca="1" si="6"/>
        <v>2051</v>
      </c>
      <c r="M29">
        <f t="shared" ca="1" si="7"/>
        <v>77</v>
      </c>
      <c r="N29">
        <f t="shared" si="0"/>
        <v>62</v>
      </c>
      <c r="O29" t="str">
        <f t="shared" ca="1" si="1"/>
        <v>S</v>
      </c>
    </row>
    <row r="30" spans="1:15" x14ac:dyDescent="0.25">
      <c r="A30" s="1" t="str">
        <f ca="1">IF(IdadeMinima[[#This Row],[Minimo]]=57,"-",IF(IdadeMinima[[#This Row],[Atingiu]]="N","N",IF(A29="S","-",IF(A29="-","-",IF(CalculoPontos[[#This Row],[Pontos]]&lt;PontosHomens[[#This Row],[Pontos]],"N","S")))))</f>
        <v>-</v>
      </c>
      <c r="B30" s="5">
        <f t="shared" ca="1" si="2"/>
        <v>2052</v>
      </c>
      <c r="C30" s="1">
        <v>105</v>
      </c>
      <c r="D30" s="1"/>
      <c r="E30" s="1" t="str">
        <f>IF(IdadeMinima[[#This Row],[Minimo]]=62,"-",IF(IdadeMinima[[#This Row],[Atingiu]]="N","N",IF(E29="S","-",IF(E29="-","-",IF(CalculoPontos[[#This Row],[Pontos]]&lt;PontosMulheres[[#This Row],[Pontos]],"N","S")))))</f>
        <v>-</v>
      </c>
      <c r="F30" s="5">
        <f t="shared" ca="1" si="3"/>
        <v>2052</v>
      </c>
      <c r="G30" s="2">
        <v>100</v>
      </c>
      <c r="H30" s="2"/>
      <c r="I30" s="5">
        <f t="shared" ca="1" si="4"/>
        <v>2052</v>
      </c>
      <c r="J30" s="2">
        <f t="shared" ca="1" si="8"/>
        <v>134</v>
      </c>
      <c r="K30" s="2"/>
      <c r="L30" s="5">
        <f t="shared" ca="1" si="6"/>
        <v>2052</v>
      </c>
      <c r="M30">
        <f t="shared" ca="1" si="7"/>
        <v>78</v>
      </c>
      <c r="N30">
        <f t="shared" si="0"/>
        <v>62</v>
      </c>
      <c r="O30" t="str">
        <f t="shared" ca="1" si="1"/>
        <v>S</v>
      </c>
    </row>
    <row r="31" spans="1:15" x14ac:dyDescent="0.25">
      <c r="A31" s="1" t="str">
        <f ca="1">IF(IdadeMinima[[#This Row],[Minimo]]=57,"-",IF(IdadeMinima[[#This Row],[Atingiu]]="N","N",IF(A30="S","-",IF(A30="-","-",IF(CalculoPontos[[#This Row],[Pontos]]&lt;PontosHomens[[#This Row],[Pontos]],"N","S")))))</f>
        <v>-</v>
      </c>
      <c r="B31" s="5">
        <f t="shared" ca="1" si="2"/>
        <v>2053</v>
      </c>
      <c r="C31" s="1">
        <v>105</v>
      </c>
      <c r="D31" s="1"/>
      <c r="E31" s="1" t="str">
        <f>IF(IdadeMinima[[#This Row],[Minimo]]=62,"-",IF(IdadeMinima[[#This Row],[Atingiu]]="N","N",IF(E30="S","-",IF(E30="-","-",IF(CalculoPontos[[#This Row],[Pontos]]&lt;PontosMulheres[[#This Row],[Pontos]],"N","S")))))</f>
        <v>-</v>
      </c>
      <c r="F31" s="5">
        <f t="shared" ca="1" si="3"/>
        <v>2053</v>
      </c>
      <c r="G31" s="2">
        <v>100</v>
      </c>
      <c r="H31" s="2"/>
      <c r="I31" s="5">
        <f t="shared" ca="1" si="4"/>
        <v>2053</v>
      </c>
      <c r="J31" s="2">
        <f t="shared" ca="1" si="8"/>
        <v>136</v>
      </c>
      <c r="K31" s="2"/>
      <c r="L31" s="5">
        <f t="shared" ca="1" si="6"/>
        <v>2053</v>
      </c>
      <c r="M31">
        <f t="shared" ca="1" si="7"/>
        <v>79</v>
      </c>
      <c r="N31">
        <f t="shared" si="0"/>
        <v>62</v>
      </c>
      <c r="O31" t="str">
        <f t="shared" ca="1" si="1"/>
        <v>S</v>
      </c>
    </row>
    <row r="33" spans="1:2" x14ac:dyDescent="0.25">
      <c r="A33" s="3" t="s">
        <v>29</v>
      </c>
      <c r="B33" s="4">
        <f>Simulador!B10</f>
        <v>26791</v>
      </c>
    </row>
    <row r="34" spans="1:2" x14ac:dyDescent="0.25">
      <c r="A34" s="3" t="s">
        <v>12</v>
      </c>
      <c r="B34" s="4">
        <f ca="1">TODAY()</f>
        <v>45666</v>
      </c>
    </row>
    <row r="35" spans="1:2" x14ac:dyDescent="0.25">
      <c r="A35" s="3" t="s">
        <v>4</v>
      </c>
      <c r="B35" s="2">
        <f ca="1">INT(DAYS360(B33,B34)/360)</f>
        <v>51</v>
      </c>
    </row>
    <row r="36" spans="1:2" x14ac:dyDescent="0.25">
      <c r="A36" s="3" t="s">
        <v>5</v>
      </c>
      <c r="B36" s="2">
        <f>Simulador!H10</f>
        <v>29</v>
      </c>
    </row>
    <row r="37" spans="1:2" x14ac:dyDescent="0.25">
      <c r="A37" s="3" t="s">
        <v>6</v>
      </c>
      <c r="B37" s="2" t="str">
        <f>Simulador!M10</f>
        <v>M</v>
      </c>
    </row>
    <row r="38" spans="1:2" x14ac:dyDescent="0.25">
      <c r="A38" s="3" t="s">
        <v>11</v>
      </c>
      <c r="B38" s="2">
        <f ca="1">IF(B37="M",VLOOKUP("S",PontosHomens[],2,0),VLOOKUP("S",PontosMulheres[],2,0))</f>
        <v>2038</v>
      </c>
    </row>
    <row r="39" spans="1:2" x14ac:dyDescent="0.25">
      <c r="A39" s="3" t="s">
        <v>45</v>
      </c>
      <c r="B39" s="2">
        <f ca="1">IF(B37="M",VLOOKUP("S",PontosHomens[],3,0),IF(B37="F",VLOOKUP("S",PontosMulheres[],3,0),""))</f>
        <v>105</v>
      </c>
    </row>
    <row r="40" spans="1:2" x14ac:dyDescent="0.25">
      <c r="A40" s="3" t="s">
        <v>42</v>
      </c>
      <c r="B40" s="2">
        <f ca="1">LOOKUP(B41,CalculoPontos[Ano],CalculoPontos[Pontos])</f>
        <v>80</v>
      </c>
    </row>
    <row r="41" spans="1:2" x14ac:dyDescent="0.25">
      <c r="A41" s="3" t="s">
        <v>43</v>
      </c>
      <c r="B41" s="2">
        <f ca="1">YEAR(TODAY())</f>
        <v>2025</v>
      </c>
    </row>
    <row r="42" spans="1:2" x14ac:dyDescent="0.25">
      <c r="A42" s="3" t="s">
        <v>24</v>
      </c>
      <c r="B42" s="2">
        <f ca="1">IF(B39="","",N3)</f>
        <v>62</v>
      </c>
    </row>
    <row r="43" spans="1:2" x14ac:dyDescent="0.25">
      <c r="A43" s="3" t="s">
        <v>44</v>
      </c>
      <c r="B43" s="2">
        <f>IF(B37="M",35,IF(B37="F",30,""))</f>
        <v>35</v>
      </c>
    </row>
  </sheetData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Simulador</vt:lpstr>
      <vt:lpstr>Pedagio</vt:lpstr>
      <vt:lpstr>Pontos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Bartolini</dc:creator>
  <cp:lastModifiedBy>Jurídico</cp:lastModifiedBy>
  <cp:lastPrinted>2024-01-17T19:50:41Z</cp:lastPrinted>
  <dcterms:created xsi:type="dcterms:W3CDTF">2022-05-23T18:55:02Z</dcterms:created>
  <dcterms:modified xsi:type="dcterms:W3CDTF">2025-01-09T11:25:24Z</dcterms:modified>
</cp:coreProperties>
</file>